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date1904="1" codeName="ThisWorkbook"/>
  <mc:AlternateContent xmlns:mc="http://schemas.openxmlformats.org/markup-compatibility/2006">
    <mc:Choice Requires="x15">
      <x15ac:absPath xmlns:x15ac="http://schemas.microsoft.com/office/spreadsheetml/2010/11/ac" url="/Users/ashtonlewis/Desktop/000_AL_Official Tools/Brewing Calculators for Customers/"/>
    </mc:Choice>
  </mc:AlternateContent>
  <xr:revisionPtr revIDLastSave="0" documentId="13_ncr:1_{083828AD-ACE8-E04D-B1D5-64782F96C297}" xr6:coauthVersionLast="47" xr6:coauthVersionMax="47" xr10:uidLastSave="{00000000-0000-0000-0000-000000000000}"/>
  <bookViews>
    <workbookView xWindow="0" yWindow="500" windowWidth="33600" windowHeight="18960" tabRatio="941" xr2:uid="{00000000-000D-0000-FFFF-FFFF00000000}"/>
  </bookViews>
  <sheets>
    <sheet name="Brewing Water Calculator" sheetId="5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57" l="1"/>
  <c r="J18" i="57" l="1"/>
  <c r="K18" i="57" s="1"/>
  <c r="H37" i="57"/>
  <c r="G37" i="57"/>
  <c r="F37" i="57"/>
  <c r="E37" i="57"/>
  <c r="D37" i="57"/>
  <c r="C37" i="57"/>
  <c r="G23" i="57"/>
  <c r="F23" i="57"/>
  <c r="E23" i="57"/>
  <c r="D23" i="57"/>
  <c r="C23" i="57"/>
  <c r="J22" i="57"/>
  <c r="I22" i="57"/>
  <c r="I37" i="57" s="1"/>
  <c r="I18" i="57"/>
  <c r="E12" i="57"/>
  <c r="F12" i="57" s="1"/>
  <c r="J37" i="57" l="1"/>
  <c r="K22" i="57"/>
  <c r="H23" i="57"/>
  <c r="I23" i="57" s="1"/>
  <c r="C54" i="57" s="1"/>
  <c r="D55" i="57" s="1"/>
  <c r="E42" i="57" s="1"/>
  <c r="C32" i="57"/>
  <c r="K37" i="57" l="1"/>
  <c r="I28" i="57"/>
  <c r="I27" i="57"/>
  <c r="C55" i="57"/>
  <c r="C56" i="57" s="1"/>
  <c r="G59" i="57" s="1"/>
  <c r="G60" i="57" s="1"/>
  <c r="D56" i="57"/>
  <c r="E43" i="57" s="1"/>
  <c r="F43" i="57" s="1"/>
  <c r="E44" i="57"/>
  <c r="F44" i="57" s="1"/>
  <c r="F42" i="57"/>
  <c r="E49" i="57" l="1"/>
  <c r="F49" i="57"/>
  <c r="F59" i="57"/>
  <c r="F60" i="57" s="1"/>
  <c r="C59" i="57"/>
  <c r="C60" i="57" s="1"/>
  <c r="C29" i="57" s="1"/>
  <c r="D30" i="57" s="1"/>
  <c r="D32" i="57" s="1"/>
  <c r="D59" i="57"/>
  <c r="D60" i="57" s="1"/>
  <c r="E32" i="57" s="1"/>
  <c r="E59" i="57"/>
  <c r="E60" i="57" s="1"/>
  <c r="H59" i="57"/>
  <c r="H60" i="57" s="1"/>
  <c r="G29" i="57" l="1"/>
  <c r="G32" i="57"/>
  <c r="D36" i="57" s="1"/>
  <c r="F29" i="57"/>
  <c r="F32" i="57"/>
  <c r="E29" i="57"/>
  <c r="G36" i="57"/>
  <c r="E45" i="57"/>
  <c r="F45" i="57" s="1"/>
  <c r="C36" i="57"/>
  <c r="H42" i="57" s="1"/>
  <c r="H43" i="57" l="1"/>
  <c r="E36" i="57"/>
  <c r="H44" i="57" s="1"/>
  <c r="E47" i="57"/>
  <c r="F47" i="57" s="1"/>
  <c r="F36" i="57"/>
  <c r="H45" i="57" s="1"/>
  <c r="H46" i="57"/>
  <c r="E46" i="57"/>
  <c r="F46" i="57" s="1"/>
  <c r="E48" i="57"/>
  <c r="F48" i="57" s="1"/>
  <c r="H36" i="57"/>
  <c r="I36" i="57" l="1"/>
  <c r="H48" i="57" s="1"/>
  <c r="H47" i="57"/>
  <c r="J36" i="57"/>
  <c r="K36" i="57" s="1"/>
  <c r="K44" i="57" l="1"/>
  <c r="K49" i="57" s="1"/>
  <c r="K43" i="57"/>
  <c r="K48" i="57" s="1"/>
  <c r="H49" i="57"/>
  <c r="K42" i="57"/>
  <c r="K47" i="57" l="1"/>
</calcChain>
</file>

<file path=xl/sharedStrings.xml><?xml version="1.0" encoding="utf-8"?>
<sst xmlns="http://schemas.openxmlformats.org/spreadsheetml/2006/main" count="142" uniqueCount="100">
  <si>
    <t xml:space="preserve"> -++- Fill in Yellow Boxes! -++- Unprotect with "BSG"-++-</t>
  </si>
  <si>
    <t>ppm</t>
  </si>
  <si>
    <t>mg/L</t>
  </si>
  <si>
    <t>hL</t>
  </si>
  <si>
    <t>This is a Summary of Your Water "Recipe"</t>
  </si>
  <si>
    <t>Adjusted Profile</t>
  </si>
  <si>
    <t>Suggested Acid Additives (Choose One)</t>
  </si>
  <si>
    <t>Based upon the data below about what you want to do with water and the grist bill for this beer, the salt additions to the right are suggested.  The water volume also includes a diluent suggestion if the plan is to dial back any ion(s) present in your base water.
Suggested acidulated malt, lactic acid, and phosphoric acid dose rates are also shown to the right to help achieve the your mash goals.  The ~Mash pH is a prediction based on grist composition, water chemistry profile, and one of the acid additions (all equivalent).</t>
  </si>
  <si>
    <r>
      <t>Ca</t>
    </r>
    <r>
      <rPr>
        <vertAlign val="superscript"/>
        <sz val="10"/>
        <color theme="1"/>
        <rFont val="Montserrat Regular"/>
      </rPr>
      <t>+2</t>
    </r>
  </si>
  <si>
    <t>% Acidulated Malt</t>
  </si>
  <si>
    <t>RO Water</t>
  </si>
  <si>
    <r>
      <t>Na</t>
    </r>
    <r>
      <rPr>
        <vertAlign val="superscript"/>
        <sz val="10"/>
        <color theme="1"/>
        <rFont val="Montserrat Regular"/>
      </rPr>
      <t>+</t>
    </r>
  </si>
  <si>
    <t>88% Lactic Acid</t>
  </si>
  <si>
    <r>
      <t>CaSO</t>
    </r>
    <r>
      <rPr>
        <vertAlign val="subscript"/>
        <sz val="10"/>
        <color theme="1"/>
        <rFont val="Montserrat Regular"/>
      </rPr>
      <t>4</t>
    </r>
  </si>
  <si>
    <r>
      <t>Mg</t>
    </r>
    <r>
      <rPr>
        <vertAlign val="superscript"/>
        <sz val="10"/>
        <color theme="1"/>
        <rFont val="Montserrat Regular"/>
      </rPr>
      <t>+2</t>
    </r>
  </si>
  <si>
    <t>75% Phosphoric Acid</t>
  </si>
  <si>
    <r>
      <t>CaCl</t>
    </r>
    <r>
      <rPr>
        <vertAlign val="subscript"/>
        <sz val="10"/>
        <color theme="1"/>
        <rFont val="Montserrat Regular"/>
      </rPr>
      <t>2</t>
    </r>
  </si>
  <si>
    <r>
      <t>SO</t>
    </r>
    <r>
      <rPr>
        <vertAlign val="subscript"/>
        <sz val="10"/>
        <color theme="1"/>
        <rFont val="Montserrat Regular"/>
      </rPr>
      <t>4</t>
    </r>
    <r>
      <rPr>
        <vertAlign val="superscript"/>
        <sz val="10"/>
        <color theme="1"/>
        <rFont val="Montserrat Regular"/>
      </rPr>
      <t>-</t>
    </r>
  </si>
  <si>
    <t>~Mash pH Based on Water and Acid Corrections
(these values should all be the same)</t>
  </si>
  <si>
    <t>NaCl</t>
  </si>
  <si>
    <r>
      <t>Cl</t>
    </r>
    <r>
      <rPr>
        <vertAlign val="superscript"/>
        <sz val="10"/>
        <color theme="1"/>
        <rFont val="Montserrat Regular"/>
      </rPr>
      <t>-</t>
    </r>
  </si>
  <si>
    <r>
      <t>MgSO</t>
    </r>
    <r>
      <rPr>
        <vertAlign val="subscript"/>
        <sz val="10"/>
        <color theme="1"/>
        <rFont val="Montserrat Regular"/>
      </rPr>
      <t>4</t>
    </r>
  </si>
  <si>
    <r>
      <t>HCO</t>
    </r>
    <r>
      <rPr>
        <vertAlign val="subscript"/>
        <sz val="10"/>
        <color theme="1"/>
        <rFont val="Montserrat Regular"/>
      </rPr>
      <t>3</t>
    </r>
    <r>
      <rPr>
        <vertAlign val="superscript"/>
        <sz val="10"/>
        <color theme="1"/>
        <rFont val="Montserrat Regular"/>
      </rPr>
      <t>-</t>
    </r>
  </si>
  <si>
    <t>~ Mash pH with Acidulated Malt</t>
  </si>
  <si>
    <r>
      <t>NaHCO</t>
    </r>
    <r>
      <rPr>
        <vertAlign val="subscript"/>
        <sz val="10"/>
        <color theme="1"/>
        <rFont val="Montserrat Regular"/>
      </rPr>
      <t>3</t>
    </r>
  </si>
  <si>
    <r>
      <t>Cl</t>
    </r>
    <r>
      <rPr>
        <vertAlign val="superscript"/>
        <sz val="10"/>
        <color theme="1"/>
        <rFont val="Montserrat Regular"/>
      </rPr>
      <t>-</t>
    </r>
    <r>
      <rPr>
        <sz val="10"/>
        <color theme="1"/>
        <rFont val="Montserrat Regular"/>
      </rPr>
      <t>: SO4-</t>
    </r>
  </si>
  <si>
    <t>~ Mash pH with Lactic Acid</t>
  </si>
  <si>
    <t>Total Water</t>
  </si>
  <si>
    <t>RA</t>
  </si>
  <si>
    <t>~ Mash pH with Phosphoric Acid</t>
  </si>
  <si>
    <t/>
  </si>
  <si>
    <t>What are you doing in the mash?</t>
  </si>
  <si>
    <r>
      <rPr>
        <u/>
        <sz val="10"/>
        <rFont val="Montserrat SemiBold"/>
      </rPr>
      <t xml:space="preserve">Acid Additon Rules
</t>
    </r>
    <r>
      <rPr>
        <i/>
        <sz val="10"/>
        <rFont val="Montserrat Medium Italic"/>
      </rPr>
      <t xml:space="preserve">
88% Lactic Acid
@ 65.9g/100kg grist
Reduces Mash pH by ~0.1
75% Phosphoric Acid
@ 74.8g/100kg grist
Reduces Mash pH by ~0.1
</t>
    </r>
    <r>
      <rPr>
        <b/>
        <i/>
        <u/>
        <sz val="10"/>
        <rFont val="Montserrat Medium Italic"/>
      </rPr>
      <t>Source:</t>
    </r>
    <r>
      <rPr>
        <i/>
        <sz val="10"/>
        <rFont val="Montserrat Medium Italic"/>
      </rPr>
      <t xml:space="preserve">
Siebel Institute Lectures</t>
    </r>
  </si>
  <si>
    <t>Malt Type</t>
  </si>
  <si>
    <t>Base Malt pH
(see COA)</t>
  </si>
  <si>
    <t>Crystal
Malts</t>
  </si>
  <si>
    <t>Light Roasted
Malts</t>
  </si>
  <si>
    <t>Dark Roasted
Malts</t>
  </si>
  <si>
    <t>Acidulated
Malt</t>
  </si>
  <si>
    <t>Target
Mash pH</t>
  </si>
  <si>
    <t>Usage Rate (% of total extract)</t>
  </si>
  <si>
    <t>How much brewing water do you need (mash + sparge)?</t>
  </si>
  <si>
    <t>Total Volume</t>
  </si>
  <si>
    <t>What's in your water ("as-is profile")?</t>
  </si>
  <si>
    <t>Ion</t>
  </si>
  <si>
    <t>~ Mash pH</t>
  </si>
  <si>
    <t>What's your desired profile after adjustment?</t>
  </si>
  <si>
    <t>Target ppm</t>
  </si>
  <si>
    <t>% Change from City</t>
  </si>
  <si>
    <t>This is where you decide what to add to achieve goal!</t>
  </si>
  <si>
    <t>Additional ppm Needed</t>
  </si>
  <si>
    <t>Brewers Choice for Calcium</t>
  </si>
  <si>
    <r>
      <t>Ca</t>
    </r>
    <r>
      <rPr>
        <b/>
        <i/>
        <vertAlign val="superscript"/>
        <sz val="10"/>
        <rFont val="Montserrat Regular"/>
      </rPr>
      <t>+2</t>
    </r>
    <r>
      <rPr>
        <b/>
        <i/>
        <sz val="10"/>
        <rFont val="Montserrat Regular"/>
      </rPr>
      <t xml:space="preserve"> from CaCl</t>
    </r>
    <r>
      <rPr>
        <b/>
        <i/>
        <vertAlign val="subscript"/>
        <sz val="10"/>
        <rFont val="Montserrat Regular"/>
      </rPr>
      <t>2</t>
    </r>
    <r>
      <rPr>
        <b/>
        <i/>
        <sz val="10"/>
        <rFont val="Montserrat Regular"/>
      </rPr>
      <t xml:space="preserve"> = Total Ca</t>
    </r>
    <r>
      <rPr>
        <b/>
        <i/>
        <vertAlign val="superscript"/>
        <sz val="10"/>
        <rFont val="Montserrat Regular"/>
      </rPr>
      <t>+2</t>
    </r>
    <r>
      <rPr>
        <b/>
        <i/>
        <sz val="10"/>
        <rFont val="Montserrat Regular"/>
      </rPr>
      <t xml:space="preserve"> - Ca</t>
    </r>
    <r>
      <rPr>
        <b/>
        <i/>
        <vertAlign val="superscript"/>
        <sz val="10"/>
        <rFont val="Montserrat Regular"/>
      </rPr>
      <t>+2</t>
    </r>
    <r>
      <rPr>
        <b/>
        <i/>
        <sz val="10"/>
        <rFont val="Montserrat Regular"/>
      </rPr>
      <t xml:space="preserve"> from CaSO</t>
    </r>
    <r>
      <rPr>
        <b/>
        <i/>
        <vertAlign val="subscript"/>
        <sz val="10"/>
        <rFont val="Montserrat Regular"/>
      </rPr>
      <t>4</t>
    </r>
  </si>
  <si>
    <t>Source Salt</t>
  </si>
  <si>
    <t>Salt Additions</t>
  </si>
  <si>
    <t>Here is your adjusted profile.  Don't like it?  Change the additions above :-)</t>
  </si>
  <si>
    <t>Adjusted ppm</t>
  </si>
  <si>
    <t xml:space="preserve"> Target ppm</t>
  </si>
  <si>
    <t>Intermediate Calcultions and Unit Explanation</t>
  </si>
  <si>
    <t>Water Blend?</t>
  </si>
  <si>
    <t>Dilution with RO Required?</t>
  </si>
  <si>
    <t>Untreated Volume</t>
  </si>
  <si>
    <t>RO Dilution Volume</t>
  </si>
  <si>
    <t>Diluted Resultant  - This is an Intermediate Step Shown for Clarity</t>
  </si>
  <si>
    <t>Diluted ppm</t>
  </si>
  <si>
    <t>Need to Add</t>
  </si>
  <si>
    <t xml:space="preserve"> -++- Data Used to Build the Formulae Above -++-</t>
  </si>
  <si>
    <t>mg/L as CaCO3</t>
  </si>
  <si>
    <t>mg/L as CaO</t>
  </si>
  <si>
    <t>Ca2+
(Example)</t>
  </si>
  <si>
    <t>1.00 x (50/20)
= 2.50 mg as CaCO3</t>
  </si>
  <si>
    <t>1.00 x (28/20)
= 1.40 mg as CaO</t>
  </si>
  <si>
    <t>Ca2+</t>
  </si>
  <si>
    <t>Mg2+</t>
  </si>
  <si>
    <t>HCO3-</t>
  </si>
  <si>
    <t>CaCO3</t>
  </si>
  <si>
    <t>CaO</t>
  </si>
  <si>
    <t xml:space="preserve">1˚  U.S. Hardness </t>
  </si>
  <si>
    <t xml:space="preserve"> = 1 ppm Calcium Carbonate</t>
  </si>
  <si>
    <t xml:space="preserve">1˚  British Hardness </t>
  </si>
  <si>
    <t xml:space="preserve"> = 14.3 ppm Calcium Carbonate (1 grain/gallon)</t>
  </si>
  <si>
    <t xml:space="preserve">1˚  French Hardness </t>
  </si>
  <si>
    <t xml:space="preserve"> = 10 ppm Calcium Carbonate </t>
  </si>
  <si>
    <t xml:space="preserve">1˚  German Hardness </t>
  </si>
  <si>
    <t xml:space="preserve"> = 10 ppm Calcium Oxide </t>
  </si>
  <si>
    <r>
      <rPr>
        <b/>
        <sz val="18"/>
        <color theme="0"/>
        <rFont val="Comic Sans MS Bold"/>
      </rPr>
      <t>Step 1</t>
    </r>
    <r>
      <rPr>
        <b/>
        <sz val="12"/>
        <color theme="0"/>
        <rFont val="Comic Sans MS Bold"/>
      </rPr>
      <t xml:space="preserve"> - Define Your Recipe and Water Volume Requirement</t>
    </r>
  </si>
  <si>
    <r>
      <rPr>
        <b/>
        <sz val="18"/>
        <color theme="0"/>
        <rFont val="Comic Sans MS Bold"/>
      </rPr>
      <t>Step 2</t>
    </r>
    <r>
      <rPr>
        <b/>
        <sz val="12"/>
        <color theme="0"/>
        <rFont val="Comic Sans MS Bold"/>
      </rPr>
      <t xml:space="preserve"> - Enter Data About Your Source Water and Your Desired Profile After Adjustment</t>
    </r>
  </si>
  <si>
    <r>
      <rPr>
        <b/>
        <sz val="18"/>
        <color theme="0"/>
        <rFont val="Comic Sans MS Bold"/>
      </rPr>
      <t>Step 3</t>
    </r>
    <r>
      <rPr>
        <b/>
        <sz val="12"/>
        <color theme="0"/>
        <rFont val="Comic Sans MS Bold"/>
      </rPr>
      <t xml:space="preserve"> - Define How Much Calcium Will Be Sourced from Calcium Sulfate</t>
    </r>
  </si>
  <si>
    <r>
      <t>CaSO</t>
    </r>
    <r>
      <rPr>
        <b/>
        <vertAlign val="subscript"/>
        <sz val="10"/>
        <color theme="0"/>
        <rFont val="Montserrat Regular"/>
      </rPr>
      <t>4</t>
    </r>
  </si>
  <si>
    <r>
      <t>CaCl</t>
    </r>
    <r>
      <rPr>
        <b/>
        <vertAlign val="subscript"/>
        <sz val="10"/>
        <color theme="0"/>
        <rFont val="Montserrat Regular"/>
      </rPr>
      <t>2</t>
    </r>
  </si>
  <si>
    <r>
      <t>MgSO</t>
    </r>
    <r>
      <rPr>
        <b/>
        <vertAlign val="subscript"/>
        <sz val="10"/>
        <color theme="0"/>
        <rFont val="Montserrat Regular"/>
      </rPr>
      <t>4</t>
    </r>
  </si>
  <si>
    <r>
      <t>NaHCO</t>
    </r>
    <r>
      <rPr>
        <b/>
        <vertAlign val="subscript"/>
        <sz val="10"/>
        <color theme="0"/>
        <rFont val="Montserrat Regular"/>
      </rPr>
      <t>3</t>
    </r>
  </si>
  <si>
    <t>Calculator Results - Boxes Highlighted in Blue Show the Water "Recipe"</t>
  </si>
  <si>
    <t>Munich &amp; Vienna
Malts</t>
  </si>
  <si>
    <r>
      <rPr>
        <b/>
        <sz val="14"/>
        <color rgb="FFFF7E79"/>
        <rFont val="Comic Sans MS Bold"/>
      </rPr>
      <t xml:space="preserve">A bit about this water calculation tool ... </t>
    </r>
    <r>
      <rPr>
        <sz val="11"/>
        <rFont val="Montserrat Regular"/>
      </rPr>
      <t xml:space="preserve">
Simply put, brewing water calculations are not easy.  But they don't have to be confusing when viewed in a stepwise fashion.  This calculation tool requires three basic profiles to begin the process of analysis:
1.  Grist profile and target mash pH
2.  Base water profile
3.  Adjusted water profile
The interplay between calcium and magnesium in water and grist components, primarily phosphate, are responsible for pH reduction when malt and water are mashed.  Carbonate in water has the opposite effect, and the combination of these pH-altering reactions is condensed into a handy term known as Residual Alaklinity (RA).
Dr. Paul Kolbach developed the notion of RA in the 1950's using the units of ˚dH (German hardness based on calcium oxide equivalents).  There is more about the units below, but the important part is that RA can be used to predict mash pH.  This is where knowing something about the malt types of a particular brew are required.
The yellow cells in this tool are the only information required to perform these funky water calculations using units that most of us find awkward.
Dilution is one feature of this of this tool that may seem a bit different because it is automatic.  If any ion in the target brewing water profile is less than the value of the same ion in the base water, dilution with RO water is suggested.  If you don't have access to RO water, make sure you are not attempting to reduce the concentration of anything in the base water.
What if you are using a calcium reduction method, such as slaked lime additions?  No problem!  Just use the water profile of your treated water as the base water and calculate changes from that point.
One addition that is not calculated is ppm of calcium from calcium sulfate.  This allows you to choose how much of the calcium deficit (when present) is corrected using calcium sulfate; the balance of the correction comes from calcium chloride.
This tool also makes recommendations about acid additions if the predicted mash pH using the adjusted brewing water profile is higher than the target pH.  Three approaches with the same predicted outcome are provided.  Only use one of these solutions.
And if the predicted mash pH is below your target, red flags appear over the target calcium, magnesium, and bicarbonate because more RA is needed.  You can boost RA by decreaseing the calcium and/or magnesium target, and/or increasing the bicarbonate target.
This is a work in progress and suggestions to improve are always welcome.  Hopefully this makes brewing water calculations a bit eaier to perform and gives you more control over a very key ingredient!
Cheers,
Ashton Lewis
BSG || Manager of Training &amp; Technical Support
(417) 830-2337
alewis@bsgcraftbrewing.com
</t>
    </r>
  </si>
  <si>
    <t>Base Water</t>
  </si>
  <si>
    <t>As CaCO3</t>
  </si>
  <si>
    <r>
      <t>As HCO</t>
    </r>
    <r>
      <rPr>
        <vertAlign val="subscript"/>
        <sz val="10"/>
        <color theme="1"/>
        <rFont val="Montserrat Regular"/>
      </rPr>
      <t>3</t>
    </r>
    <r>
      <rPr>
        <vertAlign val="superscript"/>
        <sz val="10"/>
        <color theme="1"/>
        <rFont val="Montserrat Regular"/>
      </rPr>
      <t>-</t>
    </r>
  </si>
  <si>
    <r>
      <t>If you have hardness as CaCO</t>
    </r>
    <r>
      <rPr>
        <b/>
        <i/>
        <vertAlign val="subscript"/>
        <sz val="12"/>
        <color rgb="FFFF0000"/>
        <rFont val="Comic Sans MS Bold"/>
      </rPr>
      <t>3</t>
    </r>
    <r>
      <rPr>
        <b/>
        <i/>
        <sz val="12"/>
        <color rgb="FFFF0000"/>
        <rFont val="Comic Sans MS Bold"/>
      </rPr>
      <t>, switch to HCO</t>
    </r>
    <r>
      <rPr>
        <b/>
        <i/>
        <vertAlign val="subscript"/>
        <sz val="12"/>
        <color rgb="FFFF0000"/>
        <rFont val="Comic Sans MS Bold"/>
      </rPr>
      <t>3</t>
    </r>
    <r>
      <rPr>
        <b/>
        <i/>
        <vertAlign val="superscript"/>
        <sz val="12"/>
        <color rgb="FFFF0000"/>
        <rFont val="Comic Sans MS Bold"/>
      </rPr>
      <t>-</t>
    </r>
    <r>
      <rPr>
        <b/>
        <i/>
        <sz val="12"/>
        <color rgb="FFFF0000"/>
        <rFont val="Comic Sans MS Bold"/>
      </rPr>
      <t>.</t>
    </r>
  </si>
  <si>
    <t>Mash pH ~ Base Malt pH +(˚RA x 10/0.3) - (% Munich/Vienna x 0.002) - (% crystal x 0.025) - (% light roast x 0.030) - (% dark roast x 0.050) - (% acidulated x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</si>
</sst>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0.0"/>
    <numFmt numFmtId="165" formatCode="0.0&quot; : 1&quot;"/>
    <numFmt numFmtId="166" formatCode="0\ &quot;gallons&quot;"/>
    <numFmt numFmtId="167" formatCode="0.0\ &quot;BBLs&quot;"/>
    <numFmt numFmtId="168" formatCode="#,##0\ &quot;g&quot;"/>
    <numFmt numFmtId="169" formatCode="#,##0&quot; liters&quot;"/>
    <numFmt numFmtId="170" formatCode="#,##0.0&quot; Gallons&quot;"/>
    <numFmt numFmtId="171" formatCode="#,##0.0&quot; liters&quot;"/>
    <numFmt numFmtId="172" formatCode="#,##0.0&quot; hL&quot;"/>
    <numFmt numFmtId="173" formatCode="#,##0.0&quot; BBL&quot;"/>
    <numFmt numFmtId="174" formatCode="0&quot; ppm&quot;"/>
    <numFmt numFmtId="175" formatCode="0.00&quot;%&quot;"/>
    <numFmt numFmtId="176" formatCode="0.0\ &quot;g/kg grist&quot;"/>
    <numFmt numFmtId="177" formatCode="0.00&quot; oz.&quot;"/>
    <numFmt numFmtId="178" formatCode="0.00_);\(0.00\)"/>
    <numFmt numFmtId="179" formatCode="0.0&quot;˚dH&quot;"/>
    <numFmt numFmtId="180" formatCode="0.00&quot; kg&quot;"/>
    <numFmt numFmtId="181" formatCode="#,##0.0&quot; ounces&quot;"/>
    <numFmt numFmtId="182" formatCode="0.0&quot;%&quot;"/>
    <numFmt numFmtId="183" formatCode="#,##0.0\ &quot;BBLs&quot;"/>
    <numFmt numFmtId="184" formatCode="\+0.00;\-0.00;0.00"/>
    <numFmt numFmtId="185" formatCode="#,##0.0\ &quot;g&quot;"/>
  </numFmts>
  <fonts count="44">
    <font>
      <sz val="10"/>
      <name val="Geneva"/>
    </font>
    <font>
      <sz val="10"/>
      <name val="Montserrat Medium"/>
    </font>
    <font>
      <sz val="10"/>
      <name val="Geneva"/>
      <family val="2"/>
    </font>
    <font>
      <b/>
      <sz val="14"/>
      <color rgb="FFFF0000"/>
      <name val="Comic Sans MS"/>
      <family val="4"/>
    </font>
    <font>
      <b/>
      <sz val="10"/>
      <color theme="1"/>
      <name val="Montserrat Regular"/>
    </font>
    <font>
      <sz val="10"/>
      <color theme="1"/>
      <name val="Montserrat Medium"/>
    </font>
    <font>
      <b/>
      <i/>
      <sz val="10"/>
      <name val="Montserrat Regular"/>
    </font>
    <font>
      <sz val="10"/>
      <name val="Montserrat Regular"/>
    </font>
    <font>
      <sz val="10"/>
      <color theme="1"/>
      <name val="Geneva"/>
      <family val="2"/>
    </font>
    <font>
      <b/>
      <sz val="10"/>
      <name val="Montserrat Regular"/>
    </font>
    <font>
      <i/>
      <sz val="11"/>
      <color theme="3"/>
      <name val="Montserrat Regular"/>
    </font>
    <font>
      <sz val="10"/>
      <color theme="1"/>
      <name val="Montserrat Regular"/>
    </font>
    <font>
      <vertAlign val="superscript"/>
      <sz val="10"/>
      <color theme="1"/>
      <name val="Montserrat Regular"/>
    </font>
    <font>
      <vertAlign val="subscript"/>
      <sz val="10"/>
      <color theme="1"/>
      <name val="Montserrat Regular"/>
    </font>
    <font>
      <sz val="10"/>
      <color rgb="FFFBF4EE"/>
      <name val="Geneva"/>
      <family val="2"/>
    </font>
    <font>
      <sz val="10"/>
      <color rgb="FFF7F4D1"/>
      <name val="Montserrat Regular"/>
    </font>
    <font>
      <i/>
      <sz val="10"/>
      <name val="Montserrat Medium Italic"/>
    </font>
    <font>
      <u/>
      <sz val="10"/>
      <name val="Montserrat SemiBold"/>
    </font>
    <font>
      <b/>
      <i/>
      <u/>
      <sz val="10"/>
      <name val="Montserrat Medium Italic"/>
    </font>
    <font>
      <sz val="10"/>
      <color rgb="FFF7F4D1"/>
      <name val="Geneva"/>
      <family val="2"/>
    </font>
    <font>
      <sz val="10"/>
      <color rgb="FFFBF4EE"/>
      <name val="Montserrat Regular"/>
    </font>
    <font>
      <sz val="11"/>
      <name val="Montserrat SemiBold Italic"/>
    </font>
    <font>
      <b/>
      <i/>
      <vertAlign val="superscript"/>
      <sz val="10"/>
      <name val="Montserrat Regular"/>
    </font>
    <font>
      <b/>
      <i/>
      <vertAlign val="subscript"/>
      <sz val="10"/>
      <name val="Montserrat Regular"/>
    </font>
    <font>
      <sz val="16"/>
      <name val="Comic Sans MS Bold"/>
    </font>
    <font>
      <b/>
      <sz val="14"/>
      <color theme="1"/>
      <name val="Comic Sans MS"/>
      <family val="4"/>
    </font>
    <font>
      <b/>
      <sz val="14"/>
      <color theme="1"/>
      <name val="Montserrat SemiBold"/>
    </font>
    <font>
      <b/>
      <sz val="11"/>
      <color theme="1"/>
      <name val="Montserrat SemiBold"/>
    </font>
    <font>
      <sz val="11"/>
      <color theme="1"/>
      <name val="Montserrat Medium"/>
    </font>
    <font>
      <b/>
      <sz val="12"/>
      <color theme="0"/>
      <name val="Comic Sans MS Bold"/>
    </font>
    <font>
      <b/>
      <sz val="18"/>
      <color theme="0"/>
      <name val="Comic Sans MS Bold"/>
    </font>
    <font>
      <b/>
      <sz val="12"/>
      <color theme="0"/>
      <name val="Geneva"/>
      <family val="2"/>
    </font>
    <font>
      <b/>
      <sz val="10"/>
      <color theme="0"/>
      <name val="Montserrat Regular"/>
    </font>
    <font>
      <b/>
      <vertAlign val="subscript"/>
      <sz val="10"/>
      <color theme="0"/>
      <name val="Montserrat Regular"/>
    </font>
    <font>
      <b/>
      <sz val="12"/>
      <name val="Montserrat Regular"/>
    </font>
    <font>
      <b/>
      <sz val="10"/>
      <color theme="0"/>
      <name val="Geneva"/>
      <family val="2"/>
    </font>
    <font>
      <b/>
      <sz val="12"/>
      <color rgb="FFFF0000"/>
      <name val="Comic Sans MS Bold"/>
    </font>
    <font>
      <b/>
      <sz val="14"/>
      <color rgb="FFFF0000"/>
      <name val="Comic Sans MS Bold"/>
    </font>
    <font>
      <sz val="11"/>
      <name val="Montserrat Regular"/>
    </font>
    <font>
      <b/>
      <sz val="14"/>
      <color rgb="FFFF7E79"/>
      <name val="Comic Sans MS Bold"/>
    </font>
    <font>
      <b/>
      <sz val="10"/>
      <name val="Geneva"/>
      <family val="2"/>
    </font>
    <font>
      <b/>
      <i/>
      <sz val="12"/>
      <color rgb="FFFF0000"/>
      <name val="Comic Sans MS Bold"/>
    </font>
    <font>
      <b/>
      <i/>
      <vertAlign val="subscript"/>
      <sz val="12"/>
      <color rgb="FFFF0000"/>
      <name val="Comic Sans MS Bold"/>
    </font>
    <font>
      <b/>
      <i/>
      <vertAlign val="superscript"/>
      <sz val="12"/>
      <color rgb="FFFF0000"/>
      <name val="Comic Sans MS Bold"/>
    </font>
  </fonts>
  <fills count="13">
    <fill>
      <patternFill patternType="none"/>
    </fill>
    <fill>
      <patternFill patternType="gray125"/>
    </fill>
    <fill>
      <patternFill patternType="solid">
        <fgColor rgb="FF92D050"/>
        <bgColor indexed="64"/>
      </patternFill>
    </fill>
    <fill>
      <patternFill patternType="solid">
        <fgColor rgb="FF93C4EA"/>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EBEBEB"/>
        <bgColor indexed="64"/>
      </patternFill>
    </fill>
    <fill>
      <patternFill patternType="solid">
        <fgColor rgb="FF0432FF"/>
        <bgColor indexed="64"/>
      </patternFill>
    </fill>
    <fill>
      <patternFill patternType="solid">
        <fgColor rgb="FFFBF4EE"/>
        <bgColor indexed="64"/>
      </patternFill>
    </fill>
    <fill>
      <patternFill patternType="solid">
        <fgColor rgb="FFFFFD78"/>
        <bgColor indexed="64"/>
      </patternFill>
    </fill>
    <fill>
      <patternFill patternType="solid">
        <fgColor theme="3"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9" fontId="2" fillId="0" borderId="0" applyFont="0" applyFill="0" applyBorder="0" applyAlignment="0" applyProtection="0"/>
    <xf numFmtId="0" fontId="2" fillId="0" borderId="0"/>
  </cellStyleXfs>
  <cellXfs count="193">
    <xf numFmtId="0" fontId="0" fillId="0" borderId="0" xfId="0"/>
    <xf numFmtId="0" fontId="0" fillId="10" borderId="0" xfId="0" applyFill="1"/>
    <xf numFmtId="164" fontId="1" fillId="11" borderId="1" xfId="2" applyNumberFormat="1" applyFont="1" applyFill="1" applyBorder="1" applyAlignment="1" applyProtection="1">
      <alignment horizontal="center" vertical="center"/>
      <protection locked="0"/>
    </xf>
    <xf numFmtId="182" fontId="1" fillId="11" borderId="1" xfId="2" applyNumberFormat="1" applyFont="1" applyFill="1" applyBorder="1" applyAlignment="1" applyProtection="1">
      <alignment horizontal="center" vertical="center"/>
      <protection locked="0"/>
    </xf>
    <xf numFmtId="164" fontId="4" fillId="11" borderId="1" xfId="2" applyNumberFormat="1" applyFont="1" applyFill="1" applyBorder="1" applyAlignment="1" applyProtection="1">
      <alignment horizontal="center" vertical="center"/>
      <protection locked="0"/>
    </xf>
    <xf numFmtId="166" fontId="4" fillId="11" borderId="1" xfId="2" applyNumberFormat="1" applyFont="1" applyFill="1" applyBorder="1" applyAlignment="1" applyProtection="1">
      <alignment horizontal="center" vertical="center"/>
      <protection locked="0"/>
    </xf>
    <xf numFmtId="0" fontId="2" fillId="10" borderId="0" xfId="2" applyFill="1" applyAlignment="1" applyProtection="1">
      <alignment vertical="center"/>
      <protection hidden="1"/>
    </xf>
    <xf numFmtId="0" fontId="3" fillId="10" borderId="0" xfId="2" applyFont="1" applyFill="1" applyAlignment="1" applyProtection="1">
      <alignment vertical="center"/>
      <protection hidden="1"/>
    </xf>
    <xf numFmtId="0" fontId="3" fillId="10" borderId="0" xfId="2" applyFont="1" applyFill="1" applyAlignment="1" applyProtection="1">
      <alignment horizontal="center" vertical="center"/>
      <protection hidden="1"/>
    </xf>
    <xf numFmtId="0" fontId="14" fillId="10" borderId="0" xfId="2" applyFont="1" applyFill="1" applyAlignment="1" applyProtection="1">
      <alignment vertical="center"/>
      <protection hidden="1"/>
    </xf>
    <xf numFmtId="0" fontId="7" fillId="7" borderId="1" xfId="2" applyFont="1" applyFill="1" applyBorder="1" applyAlignment="1" applyProtection="1">
      <alignment horizontal="center" vertical="center"/>
      <protection hidden="1"/>
    </xf>
    <xf numFmtId="0" fontId="11" fillId="10" borderId="0" xfId="2" applyFont="1" applyFill="1" applyAlignment="1" applyProtection="1">
      <alignment horizontal="center" vertical="center"/>
      <protection hidden="1"/>
    </xf>
    <xf numFmtId="168" fontId="7" fillId="10" borderId="0" xfId="2" applyNumberFormat="1" applyFont="1" applyFill="1" applyAlignment="1" applyProtection="1">
      <alignment horizontal="center" vertical="center"/>
      <protection hidden="1"/>
    </xf>
    <xf numFmtId="180" fontId="7" fillId="10" borderId="0" xfId="2" applyNumberFormat="1" applyFont="1" applyFill="1" applyAlignment="1" applyProtection="1">
      <alignment horizontal="center" vertical="center"/>
      <protection hidden="1"/>
    </xf>
    <xf numFmtId="181" fontId="7" fillId="10" borderId="0" xfId="2" applyNumberFormat="1" applyFont="1" applyFill="1" applyAlignment="1" applyProtection="1">
      <alignment horizontal="center" vertical="center"/>
      <protection hidden="1"/>
    </xf>
    <xf numFmtId="0" fontId="10" fillId="10" borderId="0" xfId="2" applyFont="1" applyFill="1" applyAlignment="1" applyProtection="1">
      <alignment horizontal="center" vertical="center" wrapText="1"/>
      <protection hidden="1"/>
    </xf>
    <xf numFmtId="0" fontId="7" fillId="10" borderId="0" xfId="2" applyFont="1" applyFill="1" applyAlignment="1" applyProtection="1">
      <alignment horizontal="center" vertical="center"/>
      <protection hidden="1"/>
    </xf>
    <xf numFmtId="0" fontId="7" fillId="10" borderId="0" xfId="2" quotePrefix="1" applyFont="1" applyFill="1" applyAlignment="1" applyProtection="1">
      <alignment horizontal="center" vertical="center"/>
      <protection hidden="1"/>
    </xf>
    <xf numFmtId="176" fontId="7" fillId="10" borderId="0" xfId="2" applyNumberFormat="1" applyFont="1" applyFill="1" applyAlignment="1" applyProtection="1">
      <alignment horizontal="center" vertical="center"/>
      <protection hidden="1"/>
    </xf>
    <xf numFmtId="176" fontId="15" fillId="10" borderId="0" xfId="2" applyNumberFormat="1" applyFont="1" applyFill="1" applyAlignment="1" applyProtection="1">
      <alignment horizontal="center" vertical="center"/>
      <protection hidden="1"/>
    </xf>
    <xf numFmtId="0" fontId="19" fillId="10" borderId="0" xfId="2" applyFont="1" applyFill="1" applyAlignment="1" applyProtection="1">
      <alignment vertical="center"/>
      <protection hidden="1"/>
    </xf>
    <xf numFmtId="0" fontId="1" fillId="7" borderId="1" xfId="2" applyFont="1" applyFill="1" applyBorder="1" applyAlignment="1" applyProtection="1">
      <alignment horizontal="center" vertical="center"/>
      <protection hidden="1"/>
    </xf>
    <xf numFmtId="0" fontId="1" fillId="7" borderId="1" xfId="2" applyFont="1" applyFill="1" applyBorder="1" applyAlignment="1" applyProtection="1">
      <alignment horizontal="center" vertical="center" wrapText="1"/>
      <protection hidden="1"/>
    </xf>
    <xf numFmtId="0" fontId="19" fillId="10" borderId="0" xfId="2" applyFont="1" applyFill="1" applyAlignment="1" applyProtection="1">
      <alignment horizontal="center" vertical="center"/>
      <protection hidden="1"/>
    </xf>
    <xf numFmtId="0" fontId="1" fillId="11" borderId="1" xfId="2" applyFont="1" applyFill="1" applyBorder="1" applyAlignment="1" applyProtection="1">
      <alignment horizontal="center" vertical="center"/>
      <protection hidden="1"/>
    </xf>
    <xf numFmtId="0" fontId="3" fillId="10" borderId="0" xfId="2" applyFont="1" applyFill="1" applyAlignment="1" applyProtection="1">
      <alignment horizontal="left" vertical="center"/>
      <protection hidden="1"/>
    </xf>
    <xf numFmtId="0" fontId="2" fillId="11" borderId="1" xfId="2" applyFill="1" applyBorder="1" applyAlignment="1" applyProtection="1">
      <alignment horizontal="center" vertical="center"/>
      <protection hidden="1"/>
    </xf>
    <xf numFmtId="172" fontId="7" fillId="12" borderId="1" xfId="2" applyNumberFormat="1" applyFont="1" applyFill="1" applyBorder="1" applyAlignment="1" applyProtection="1">
      <alignment horizontal="center" vertical="center"/>
      <protection hidden="1"/>
    </xf>
    <xf numFmtId="169" fontId="11" fillId="12" borderId="1" xfId="2" applyNumberFormat="1" applyFont="1" applyFill="1" applyBorder="1" applyAlignment="1" applyProtection="1">
      <alignment horizontal="center" vertical="center"/>
      <protection hidden="1"/>
    </xf>
    <xf numFmtId="183" fontId="7" fillId="10" borderId="0" xfId="2" applyNumberFormat="1" applyFont="1" applyFill="1" applyAlignment="1" applyProtection="1">
      <alignment horizontal="center" vertical="center"/>
      <protection hidden="1"/>
    </xf>
    <xf numFmtId="170" fontId="7" fillId="10" borderId="0" xfId="2" applyNumberFormat="1" applyFont="1" applyFill="1" applyAlignment="1" applyProtection="1">
      <alignment horizontal="center" vertical="center" wrapText="1"/>
      <protection hidden="1"/>
    </xf>
    <xf numFmtId="0" fontId="11" fillId="8" borderId="1" xfId="2" applyFont="1" applyFill="1" applyBorder="1" applyAlignment="1" applyProtection="1">
      <alignment horizontal="center" vertical="center"/>
      <protection hidden="1"/>
    </xf>
    <xf numFmtId="0" fontId="11" fillId="7" borderId="1" xfId="2" applyFont="1" applyFill="1" applyBorder="1" applyAlignment="1" applyProtection="1">
      <alignment horizontal="center" vertical="center"/>
      <protection hidden="1"/>
    </xf>
    <xf numFmtId="0" fontId="11" fillId="11" borderId="1" xfId="2" applyFont="1" applyFill="1" applyBorder="1" applyAlignment="1" applyProtection="1">
      <alignment horizontal="center" vertical="center"/>
      <protection hidden="1"/>
    </xf>
    <xf numFmtId="164" fontId="11" fillId="12" borderId="1" xfId="2" applyNumberFormat="1" applyFont="1" applyFill="1" applyBorder="1" applyAlignment="1" applyProtection="1">
      <alignment horizontal="center" vertical="center"/>
      <protection hidden="1"/>
    </xf>
    <xf numFmtId="179" fontId="11" fillId="12" borderId="1" xfId="2" applyNumberFormat="1" applyFont="1" applyFill="1" applyBorder="1" applyAlignment="1" applyProtection="1">
      <alignment horizontal="center" vertical="center"/>
      <protection hidden="1"/>
    </xf>
    <xf numFmtId="178" fontId="2" fillId="12" borderId="1" xfId="2" applyNumberFormat="1" applyFill="1" applyBorder="1" applyAlignment="1" applyProtection="1">
      <alignment horizontal="center" vertical="center"/>
      <protection hidden="1"/>
    </xf>
    <xf numFmtId="9" fontId="7" fillId="12" borderId="1" xfId="1" applyFont="1" applyFill="1" applyBorder="1" applyAlignment="1" applyProtection="1">
      <alignment horizontal="center" vertical="center"/>
      <protection hidden="1"/>
    </xf>
    <xf numFmtId="9" fontId="20" fillId="10" borderId="0" xfId="1" applyFont="1" applyFill="1" applyBorder="1" applyAlignment="1" applyProtection="1">
      <alignment horizontal="center" vertical="center"/>
      <protection hidden="1"/>
    </xf>
    <xf numFmtId="179" fontId="11" fillId="10" borderId="0" xfId="2" applyNumberFormat="1" applyFont="1" applyFill="1" applyAlignment="1" applyProtection="1">
      <alignment horizontal="center" vertical="center"/>
      <protection hidden="1"/>
    </xf>
    <xf numFmtId="184" fontId="7" fillId="10" borderId="0" xfId="2" applyNumberFormat="1" applyFont="1" applyFill="1" applyAlignment="1" applyProtection="1">
      <alignment horizontal="center" vertical="center"/>
      <protection hidden="1"/>
    </xf>
    <xf numFmtId="0" fontId="21" fillId="10" borderId="0" xfId="2" applyFont="1" applyFill="1" applyAlignment="1" applyProtection="1">
      <alignment vertical="center" wrapText="1"/>
      <protection hidden="1"/>
    </xf>
    <xf numFmtId="1" fontId="11" fillId="12" borderId="18" xfId="2" applyNumberFormat="1" applyFont="1" applyFill="1" applyBorder="1" applyAlignment="1" applyProtection="1">
      <alignment horizontal="center" vertical="center"/>
      <protection hidden="1"/>
    </xf>
    <xf numFmtId="0" fontId="2" fillId="10" borderId="0" xfId="2" applyFill="1" applyAlignment="1" applyProtection="1">
      <alignment vertical="center" wrapText="1"/>
      <protection hidden="1"/>
    </xf>
    <xf numFmtId="0" fontId="7" fillId="11" borderId="1" xfId="2" applyFont="1" applyFill="1" applyBorder="1" applyAlignment="1" applyProtection="1">
      <alignment horizontal="center" vertical="center"/>
      <protection hidden="1"/>
    </xf>
    <xf numFmtId="1" fontId="7" fillId="12" borderId="1" xfId="2" applyNumberFormat="1" applyFont="1" applyFill="1" applyBorder="1" applyAlignment="1" applyProtection="1">
      <alignment horizontal="center" vertical="center"/>
      <protection hidden="1"/>
    </xf>
    <xf numFmtId="1" fontId="6" fillId="10" borderId="0" xfId="2" applyNumberFormat="1" applyFont="1" applyFill="1" applyAlignment="1" applyProtection="1">
      <alignment vertical="center"/>
      <protection hidden="1"/>
    </xf>
    <xf numFmtId="0" fontId="11" fillId="7" borderId="17" xfId="2" applyFont="1" applyFill="1" applyBorder="1" applyAlignment="1" applyProtection="1">
      <alignment horizontal="center" vertical="center"/>
      <protection hidden="1"/>
    </xf>
    <xf numFmtId="0" fontId="7" fillId="10" borderId="1" xfId="2" applyFont="1" applyFill="1" applyBorder="1" applyAlignment="1" applyProtection="1">
      <alignment horizontal="center" vertical="center"/>
      <protection hidden="1"/>
    </xf>
    <xf numFmtId="185" fontId="7" fillId="12" borderId="1" xfId="2" applyNumberFormat="1" applyFont="1" applyFill="1" applyBorder="1" applyAlignment="1" applyProtection="1">
      <alignment horizontal="center" vertical="center"/>
      <protection hidden="1"/>
    </xf>
    <xf numFmtId="0" fontId="11" fillId="10" borderId="1" xfId="2" applyFont="1" applyFill="1" applyBorder="1" applyAlignment="1" applyProtection="1">
      <alignment horizontal="center" vertical="center"/>
      <protection hidden="1"/>
    </xf>
    <xf numFmtId="174" fontId="1" fillId="12" borderId="1" xfId="2" applyNumberFormat="1" applyFont="1" applyFill="1" applyBorder="1" applyAlignment="1" applyProtection="1">
      <alignment horizontal="center" vertical="center"/>
      <protection hidden="1"/>
    </xf>
    <xf numFmtId="179" fontId="1" fillId="12" borderId="1" xfId="2" applyNumberFormat="1" applyFont="1" applyFill="1" applyBorder="1" applyAlignment="1" applyProtection="1">
      <alignment horizontal="center" vertical="center"/>
      <protection hidden="1"/>
    </xf>
    <xf numFmtId="174" fontId="1" fillId="7" borderId="1" xfId="2" applyNumberFormat="1" applyFont="1" applyFill="1" applyBorder="1" applyAlignment="1" applyProtection="1">
      <alignment horizontal="center" vertical="center"/>
      <protection hidden="1"/>
    </xf>
    <xf numFmtId="164" fontId="11" fillId="7" borderId="1" xfId="2" applyNumberFormat="1" applyFont="1" applyFill="1" applyBorder="1" applyAlignment="1" applyProtection="1">
      <alignment horizontal="center" vertical="center"/>
      <protection hidden="1"/>
    </xf>
    <xf numFmtId="179" fontId="1" fillId="7" borderId="1" xfId="2" applyNumberFormat="1" applyFont="1" applyFill="1" applyBorder="1" applyAlignment="1" applyProtection="1">
      <alignment horizontal="center" vertical="center"/>
      <protection hidden="1"/>
    </xf>
    <xf numFmtId="178" fontId="2" fillId="7" borderId="1" xfId="2" applyNumberFormat="1" applyFill="1" applyBorder="1" applyAlignment="1" applyProtection="1">
      <alignment horizontal="center" vertical="center"/>
      <protection hidden="1"/>
    </xf>
    <xf numFmtId="0" fontId="2" fillId="10" borderId="9" xfId="2" applyFill="1" applyBorder="1" applyAlignment="1" applyProtection="1">
      <alignment vertical="center"/>
      <protection hidden="1"/>
    </xf>
    <xf numFmtId="0" fontId="2" fillId="10" borderId="16" xfId="2" applyFill="1" applyBorder="1" applyAlignment="1" applyProtection="1">
      <alignment vertical="center"/>
      <protection hidden="1"/>
    </xf>
    <xf numFmtId="0" fontId="1" fillId="10" borderId="16" xfId="2" applyFont="1" applyFill="1" applyBorder="1" applyAlignment="1" applyProtection="1">
      <alignment vertical="center"/>
      <protection hidden="1"/>
    </xf>
    <xf numFmtId="0" fontId="2" fillId="10" borderId="17" xfId="2" applyFill="1" applyBorder="1" applyAlignment="1" applyProtection="1">
      <alignment horizontal="center" vertical="center"/>
      <protection hidden="1"/>
    </xf>
    <xf numFmtId="0" fontId="2" fillId="10" borderId="1" xfId="2" applyFill="1" applyBorder="1" applyAlignment="1" applyProtection="1">
      <alignment horizontal="center" vertical="center"/>
      <protection hidden="1"/>
    </xf>
    <xf numFmtId="172" fontId="2" fillId="10" borderId="1" xfId="2" applyNumberFormat="1" applyFill="1" applyBorder="1" applyAlignment="1" applyProtection="1">
      <alignment horizontal="center" vertical="center"/>
      <protection hidden="1"/>
    </xf>
    <xf numFmtId="167" fontId="2" fillId="10" borderId="0" xfId="2" applyNumberFormat="1" applyFill="1" applyAlignment="1" applyProtection="1">
      <alignment horizontal="center" vertical="center"/>
      <protection hidden="1"/>
    </xf>
    <xf numFmtId="170" fontId="2" fillId="10" borderId="0" xfId="2" applyNumberFormat="1" applyFill="1" applyAlignment="1" applyProtection="1">
      <alignment horizontal="center" vertical="center"/>
      <protection hidden="1"/>
    </xf>
    <xf numFmtId="0" fontId="2" fillId="10" borderId="18" xfId="2" applyFill="1" applyBorder="1" applyAlignment="1" applyProtection="1">
      <alignment horizontal="center" vertical="center"/>
      <protection hidden="1"/>
    </xf>
    <xf numFmtId="172" fontId="2" fillId="10" borderId="18" xfId="2" applyNumberFormat="1" applyFill="1" applyBorder="1" applyAlignment="1" applyProtection="1">
      <alignment horizontal="center" vertical="center"/>
      <protection hidden="1"/>
    </xf>
    <xf numFmtId="169" fontId="2" fillId="10" borderId="18" xfId="2" applyNumberFormat="1" applyFill="1" applyBorder="1" applyAlignment="1" applyProtection="1">
      <alignment horizontal="center" vertical="center"/>
      <protection hidden="1"/>
    </xf>
    <xf numFmtId="0" fontId="1" fillId="10" borderId="0" xfId="2" applyFont="1" applyFill="1" applyAlignment="1" applyProtection="1">
      <alignment vertical="center"/>
      <protection hidden="1"/>
    </xf>
    <xf numFmtId="1" fontId="7" fillId="10" borderId="1" xfId="2" applyNumberFormat="1" applyFont="1" applyFill="1" applyBorder="1" applyAlignment="1" applyProtection="1">
      <alignment horizontal="center" vertical="center"/>
      <protection hidden="1"/>
    </xf>
    <xf numFmtId="0" fontId="14" fillId="10" borderId="9" xfId="2" applyFont="1" applyFill="1" applyBorder="1" applyAlignment="1" applyProtection="1">
      <alignment horizontal="center" vertical="center"/>
      <protection hidden="1"/>
    </xf>
    <xf numFmtId="0" fontId="14" fillId="10" borderId="0" xfId="2" applyFont="1" applyFill="1" applyAlignment="1" applyProtection="1">
      <alignment horizontal="center" vertical="center"/>
      <protection hidden="1"/>
    </xf>
    <xf numFmtId="0" fontId="14" fillId="10" borderId="16" xfId="2" applyFont="1" applyFill="1" applyBorder="1" applyAlignment="1" applyProtection="1">
      <alignment vertical="center"/>
      <protection hidden="1"/>
    </xf>
    <xf numFmtId="0" fontId="25" fillId="10" borderId="0" xfId="2" applyFont="1" applyFill="1" applyAlignment="1" applyProtection="1">
      <alignment vertical="center"/>
      <protection hidden="1"/>
    </xf>
    <xf numFmtId="0" fontId="8" fillId="10" borderId="0" xfId="2" applyFont="1" applyFill="1" applyAlignment="1" applyProtection="1">
      <alignment horizontal="center" vertical="center"/>
      <protection hidden="1"/>
    </xf>
    <xf numFmtId="0" fontId="27" fillId="10" borderId="1" xfId="2" applyFont="1" applyFill="1" applyBorder="1" applyAlignment="1" applyProtection="1">
      <alignment horizontal="center" vertical="center"/>
      <protection hidden="1"/>
    </xf>
    <xf numFmtId="0" fontId="27" fillId="10" borderId="0" xfId="2" applyFont="1" applyFill="1" applyAlignment="1" applyProtection="1">
      <alignment vertical="center" wrapText="1"/>
      <protection hidden="1"/>
    </xf>
    <xf numFmtId="0" fontId="14" fillId="10" borderId="7" xfId="2" applyFont="1" applyFill="1" applyBorder="1" applyAlignment="1" applyProtection="1">
      <alignment horizontal="center" vertical="center"/>
      <protection hidden="1"/>
    </xf>
    <xf numFmtId="0" fontId="14" fillId="10" borderId="5" xfId="2" applyFont="1" applyFill="1" applyBorder="1" applyAlignment="1" applyProtection="1">
      <alignment horizontal="center" vertical="center"/>
      <protection hidden="1"/>
    </xf>
    <xf numFmtId="0" fontId="14" fillId="10" borderId="5" xfId="2" applyFont="1" applyFill="1" applyBorder="1" applyAlignment="1" applyProtection="1">
      <alignment vertical="center"/>
      <protection hidden="1"/>
    </xf>
    <xf numFmtId="0" fontId="14" fillId="10" borderId="4" xfId="2" applyFont="1" applyFill="1" applyBorder="1" applyAlignment="1" applyProtection="1">
      <alignment vertical="center"/>
      <protection hidden="1"/>
    </xf>
    <xf numFmtId="0" fontId="4" fillId="11" borderId="1" xfId="2" applyFont="1" applyFill="1" applyBorder="1" applyAlignment="1" applyProtection="1">
      <alignment horizontal="center" vertical="center"/>
      <protection locked="0"/>
    </xf>
    <xf numFmtId="0" fontId="9" fillId="11" borderId="1" xfId="2" applyFont="1" applyFill="1" applyBorder="1" applyAlignment="1" applyProtection="1">
      <alignment horizontal="center" vertical="center"/>
      <protection locked="0"/>
    </xf>
    <xf numFmtId="0" fontId="28" fillId="10" borderId="1" xfId="2" applyFont="1" applyFill="1" applyBorder="1" applyAlignment="1" applyProtection="1">
      <alignment horizontal="center" vertical="center"/>
      <protection hidden="1"/>
    </xf>
    <xf numFmtId="0" fontId="27" fillId="10" borderId="1" xfId="2" applyFont="1" applyFill="1" applyBorder="1" applyAlignment="1" applyProtection="1">
      <alignment horizontal="center" vertical="center" wrapText="1"/>
      <protection hidden="1"/>
    </xf>
    <xf numFmtId="0" fontId="2" fillId="10" borderId="0" xfId="2" applyFill="1" applyAlignment="1" applyProtection="1">
      <alignment horizontal="center" vertical="center"/>
      <protection hidden="1"/>
    </xf>
    <xf numFmtId="0" fontId="3" fillId="10" borderId="1" xfId="2" applyFont="1" applyFill="1" applyBorder="1" applyAlignment="1" applyProtection="1">
      <alignment horizontal="left" vertical="center"/>
      <protection hidden="1"/>
    </xf>
    <xf numFmtId="0" fontId="26" fillId="10" borderId="1" xfId="2" applyFont="1" applyFill="1" applyBorder="1" applyAlignment="1" applyProtection="1">
      <alignment horizontal="center" vertical="center"/>
      <protection hidden="1"/>
    </xf>
    <xf numFmtId="0" fontId="11" fillId="10" borderId="15" xfId="2" applyFont="1" applyFill="1" applyBorder="1" applyAlignment="1" applyProtection="1">
      <alignment horizontal="center" vertical="center"/>
      <protection hidden="1"/>
    </xf>
    <xf numFmtId="164" fontId="4" fillId="10" borderId="0" xfId="2" applyNumberFormat="1" applyFont="1" applyFill="1" applyAlignment="1" applyProtection="1">
      <alignment horizontal="center" vertical="center"/>
      <protection locked="0"/>
    </xf>
    <xf numFmtId="166" fontId="4" fillId="10" borderId="0" xfId="2" applyNumberFormat="1" applyFont="1" applyFill="1" applyAlignment="1" applyProtection="1">
      <alignment horizontal="center" vertical="center"/>
      <protection locked="0"/>
    </xf>
    <xf numFmtId="172" fontId="7" fillId="10" borderId="0" xfId="2" applyNumberFormat="1" applyFont="1" applyFill="1" applyAlignment="1" applyProtection="1">
      <alignment horizontal="center" vertical="center"/>
      <protection hidden="1"/>
    </xf>
    <xf numFmtId="169" fontId="11" fillId="10" borderId="0" xfId="2" applyNumberFormat="1" applyFont="1" applyFill="1" applyAlignment="1" applyProtection="1">
      <alignment horizontal="center" vertical="center"/>
      <protection hidden="1"/>
    </xf>
    <xf numFmtId="0" fontId="16" fillId="10" borderId="0" xfId="2" applyFont="1" applyFill="1" applyAlignment="1" applyProtection="1">
      <alignment horizontal="center" vertical="center" wrapText="1"/>
      <protection hidden="1"/>
    </xf>
    <xf numFmtId="171" fontId="32" fillId="9" borderId="17" xfId="2" applyNumberFormat="1" applyFont="1" applyFill="1" applyBorder="1" applyAlignment="1" applyProtection="1">
      <alignment horizontal="center" vertical="center"/>
      <protection hidden="1"/>
    </xf>
    <xf numFmtId="171" fontId="32" fillId="9" borderId="1" xfId="2" applyNumberFormat="1" applyFont="1" applyFill="1" applyBorder="1" applyAlignment="1" applyProtection="1">
      <alignment horizontal="center" vertical="center"/>
      <protection hidden="1"/>
    </xf>
    <xf numFmtId="168" fontId="32" fillId="9" borderId="1" xfId="2" applyNumberFormat="1" applyFont="1" applyFill="1" applyBorder="1" applyAlignment="1" applyProtection="1">
      <alignment horizontal="center" vertical="center"/>
      <protection hidden="1"/>
    </xf>
    <xf numFmtId="175" fontId="32" fillId="9" borderId="2" xfId="2" applyNumberFormat="1" applyFont="1" applyFill="1" applyBorder="1" applyAlignment="1" applyProtection="1">
      <alignment horizontal="center" vertical="center"/>
      <protection hidden="1"/>
    </xf>
    <xf numFmtId="176" fontId="32" fillId="9" borderId="2" xfId="2" applyNumberFormat="1" applyFont="1" applyFill="1" applyBorder="1" applyAlignment="1" applyProtection="1">
      <alignment horizontal="center" vertical="center"/>
      <protection hidden="1"/>
    </xf>
    <xf numFmtId="169" fontId="32" fillId="9" borderId="21" xfId="2" applyNumberFormat="1" applyFont="1" applyFill="1" applyBorder="1" applyAlignment="1" applyProtection="1">
      <alignment horizontal="center" vertical="center"/>
      <protection hidden="1"/>
    </xf>
    <xf numFmtId="174" fontId="1" fillId="10" borderId="0" xfId="2" applyNumberFormat="1" applyFont="1" applyFill="1" applyAlignment="1" applyProtection="1">
      <alignment horizontal="center" vertical="center"/>
      <protection hidden="1"/>
    </xf>
    <xf numFmtId="164" fontId="11" fillId="10" borderId="0" xfId="2" applyNumberFormat="1" applyFont="1" applyFill="1" applyAlignment="1" applyProtection="1">
      <alignment horizontal="center" vertical="center"/>
      <protection hidden="1"/>
    </xf>
    <xf numFmtId="179" fontId="1" fillId="10" borderId="0" xfId="2" applyNumberFormat="1" applyFont="1" applyFill="1" applyAlignment="1" applyProtection="1">
      <alignment horizontal="center" vertical="center"/>
      <protection hidden="1"/>
    </xf>
    <xf numFmtId="178" fontId="2" fillId="10" borderId="0" xfId="2" applyNumberFormat="1" applyFill="1" applyAlignment="1" applyProtection="1">
      <alignment horizontal="center" vertical="center"/>
      <protection hidden="1"/>
    </xf>
    <xf numFmtId="174" fontId="1" fillId="10" borderId="15" xfId="2" applyNumberFormat="1" applyFont="1" applyFill="1" applyBorder="1" applyAlignment="1" applyProtection="1">
      <alignment horizontal="center" vertical="center"/>
      <protection hidden="1"/>
    </xf>
    <xf numFmtId="164" fontId="11" fillId="10" borderId="15" xfId="2" applyNumberFormat="1" applyFont="1" applyFill="1" applyBorder="1" applyAlignment="1" applyProtection="1">
      <alignment horizontal="center" vertical="center"/>
      <protection hidden="1"/>
    </xf>
    <xf numFmtId="179" fontId="1" fillId="10" borderId="15" xfId="2" applyNumberFormat="1" applyFont="1" applyFill="1" applyBorder="1" applyAlignment="1" applyProtection="1">
      <alignment horizontal="center" vertical="center"/>
      <protection hidden="1"/>
    </xf>
    <xf numFmtId="178" fontId="2" fillId="10" borderId="15" xfId="2" applyNumberFormat="1" applyFill="1" applyBorder="1" applyAlignment="1" applyProtection="1">
      <alignment horizontal="center" vertical="center"/>
      <protection hidden="1"/>
    </xf>
    <xf numFmtId="0" fontId="11" fillId="5" borderId="4" xfId="2" applyFont="1" applyFill="1" applyBorder="1" applyAlignment="1" applyProtection="1">
      <alignment horizontal="center" vertical="center"/>
      <protection hidden="1"/>
    </xf>
    <xf numFmtId="0" fontId="11" fillId="5" borderId="3" xfId="2" applyFont="1" applyFill="1" applyBorder="1" applyAlignment="1" applyProtection="1">
      <alignment horizontal="center" vertical="center"/>
      <protection hidden="1"/>
    </xf>
    <xf numFmtId="0" fontId="11" fillId="5" borderId="24" xfId="2" applyFont="1" applyFill="1" applyBorder="1" applyAlignment="1" applyProtection="1">
      <alignment horizontal="center" vertical="center"/>
      <protection hidden="1"/>
    </xf>
    <xf numFmtId="0" fontId="32" fillId="9" borderId="26" xfId="2" applyFont="1" applyFill="1" applyBorder="1" applyAlignment="1" applyProtection="1">
      <alignment horizontal="center" vertical="center"/>
      <protection hidden="1"/>
    </xf>
    <xf numFmtId="173" fontId="32" fillId="9" borderId="27" xfId="2" applyNumberFormat="1" applyFont="1" applyFill="1" applyBorder="1" applyAlignment="1" applyProtection="1">
      <alignment horizontal="center" vertical="center"/>
      <protection hidden="1"/>
    </xf>
    <xf numFmtId="0" fontId="32" fillId="9" borderId="28" xfId="2" applyFont="1" applyFill="1" applyBorder="1" applyAlignment="1" applyProtection="1">
      <alignment horizontal="center" vertical="center"/>
      <protection hidden="1"/>
    </xf>
    <xf numFmtId="173" fontId="32" fillId="9" borderId="2" xfId="2" applyNumberFormat="1" applyFont="1" applyFill="1" applyBorder="1" applyAlignment="1" applyProtection="1">
      <alignment horizontal="center" vertical="center"/>
      <protection hidden="1"/>
    </xf>
    <xf numFmtId="177" fontId="32" fillId="9" borderId="2" xfId="2" applyNumberFormat="1" applyFont="1" applyFill="1" applyBorder="1" applyAlignment="1" applyProtection="1">
      <alignment horizontal="center" vertical="center"/>
      <protection hidden="1"/>
    </xf>
    <xf numFmtId="0" fontId="32" fillId="9" borderId="29" xfId="2" applyFont="1" applyFill="1" applyBorder="1" applyAlignment="1" applyProtection="1">
      <alignment horizontal="center" vertical="center"/>
      <protection hidden="1"/>
    </xf>
    <xf numFmtId="173" fontId="32" fillId="9" borderId="22" xfId="2" applyNumberFormat="1" applyFont="1" applyFill="1" applyBorder="1" applyAlignment="1" applyProtection="1">
      <alignment horizontal="center" vertical="center"/>
      <protection hidden="1"/>
    </xf>
    <xf numFmtId="174" fontId="2" fillId="5" borderId="7" xfId="2" applyNumberFormat="1" applyFill="1" applyBorder="1" applyAlignment="1" applyProtection="1">
      <alignment horizontal="center" vertical="center"/>
      <protection hidden="1"/>
    </xf>
    <xf numFmtId="174" fontId="2" fillId="5" borderId="6" xfId="2" applyNumberFormat="1" applyFill="1" applyBorder="1" applyAlignment="1" applyProtection="1">
      <alignment horizontal="center" vertical="center"/>
      <protection hidden="1"/>
    </xf>
    <xf numFmtId="176" fontId="32" fillId="9" borderId="22" xfId="2" applyNumberFormat="1" applyFont="1" applyFill="1" applyBorder="1" applyAlignment="1" applyProtection="1">
      <alignment horizontal="center" vertical="center"/>
      <protection hidden="1"/>
    </xf>
    <xf numFmtId="165" fontId="7" fillId="5" borderId="6" xfId="2" applyNumberFormat="1" applyFont="1" applyFill="1" applyBorder="1" applyAlignment="1" applyProtection="1">
      <alignment horizontal="center" vertical="center"/>
      <protection hidden="1"/>
    </xf>
    <xf numFmtId="179" fontId="7" fillId="5" borderId="31" xfId="2" applyNumberFormat="1" applyFont="1" applyFill="1" applyBorder="1" applyAlignment="1" applyProtection="1">
      <alignment horizontal="center" vertical="center"/>
      <protection hidden="1"/>
    </xf>
    <xf numFmtId="0" fontId="35" fillId="10" borderId="0" xfId="0" applyFont="1" applyFill="1"/>
    <xf numFmtId="0" fontId="38" fillId="10" borderId="0" xfId="2" applyFont="1" applyFill="1" applyAlignment="1" applyProtection="1">
      <alignment vertical="center" wrapText="1"/>
      <protection hidden="1"/>
    </xf>
    <xf numFmtId="178" fontId="40" fillId="5" borderId="2" xfId="2" applyNumberFormat="1" applyFont="1" applyFill="1" applyBorder="1" applyAlignment="1" applyProtection="1">
      <alignment horizontal="center" vertical="center"/>
      <protection hidden="1"/>
    </xf>
    <xf numFmtId="178" fontId="40" fillId="5" borderId="22" xfId="2" applyNumberFormat="1" applyFont="1" applyFill="1" applyBorder="1" applyAlignment="1" applyProtection="1">
      <alignment horizontal="center" vertical="center"/>
      <protection hidden="1"/>
    </xf>
    <xf numFmtId="9" fontId="7" fillId="10" borderId="0" xfId="1" applyFont="1" applyFill="1" applyBorder="1" applyAlignment="1" applyProtection="1">
      <alignment horizontal="center" vertical="center"/>
      <protection hidden="1"/>
    </xf>
    <xf numFmtId="2" fontId="11" fillId="7" borderId="1" xfId="2" applyNumberFormat="1" applyFont="1" applyFill="1" applyBorder="1" applyAlignment="1" applyProtection="1">
      <alignment horizontal="center" vertical="center"/>
      <protection hidden="1"/>
    </xf>
    <xf numFmtId="2" fontId="11" fillId="10" borderId="1" xfId="2" applyNumberFormat="1" applyFont="1" applyFill="1" applyBorder="1" applyAlignment="1" applyProtection="1">
      <alignment horizontal="center" vertical="center"/>
      <protection hidden="1"/>
    </xf>
    <xf numFmtId="9" fontId="7" fillId="10" borderId="1" xfId="1" applyFont="1" applyFill="1" applyBorder="1" applyAlignment="1" applyProtection="1">
      <alignment horizontal="center" vertical="center"/>
      <protection hidden="1"/>
    </xf>
    <xf numFmtId="1" fontId="7" fillId="11" borderId="1" xfId="1" applyNumberFormat="1" applyFont="1" applyFill="1" applyBorder="1" applyAlignment="1" applyProtection="1">
      <alignment horizontal="center" vertical="center"/>
      <protection locked="0"/>
    </xf>
    <xf numFmtId="1" fontId="11" fillId="3" borderId="1" xfId="1" applyNumberFormat="1" applyFont="1" applyFill="1" applyBorder="1" applyAlignment="1" applyProtection="1">
      <alignment horizontal="center" vertical="center"/>
      <protection hidden="1"/>
    </xf>
    <xf numFmtId="9" fontId="41" fillId="10" borderId="1" xfId="1" applyFont="1" applyFill="1" applyBorder="1" applyAlignment="1" applyProtection="1">
      <alignment horizontal="center" vertical="center" wrapText="1"/>
      <protection hidden="1"/>
    </xf>
    <xf numFmtId="0" fontId="10" fillId="7" borderId="1" xfId="2" applyFont="1" applyFill="1" applyBorder="1" applyAlignment="1" applyProtection="1">
      <alignment horizontal="left" vertical="center"/>
      <protection hidden="1"/>
    </xf>
    <xf numFmtId="0" fontId="3" fillId="8" borderId="1" xfId="2" applyFont="1" applyFill="1" applyBorder="1" applyAlignment="1" applyProtection="1">
      <alignment horizontal="left" vertical="center"/>
      <protection hidden="1"/>
    </xf>
    <xf numFmtId="0" fontId="38" fillId="6" borderId="1" xfId="2" applyFont="1" applyFill="1" applyBorder="1" applyAlignment="1" applyProtection="1">
      <alignment horizontal="left" vertical="center" wrapText="1"/>
      <protection hidden="1"/>
    </xf>
    <xf numFmtId="0" fontId="3" fillId="8" borderId="1" xfId="2" applyFont="1" applyFill="1" applyBorder="1" applyAlignment="1" applyProtection="1">
      <alignment horizontal="center" vertical="center"/>
      <protection hidden="1"/>
    </xf>
    <xf numFmtId="0" fontId="29" fillId="9" borderId="0" xfId="0" applyFont="1" applyFill="1" applyAlignment="1">
      <alignment horizontal="left" indent="4"/>
    </xf>
    <xf numFmtId="0" fontId="31" fillId="9" borderId="0" xfId="0" applyFont="1" applyFill="1" applyAlignment="1">
      <alignment horizontal="left" indent="4"/>
    </xf>
    <xf numFmtId="0" fontId="16" fillId="6" borderId="1" xfId="2" applyFont="1" applyFill="1" applyBorder="1" applyAlignment="1" applyProtection="1">
      <alignment horizontal="center" vertical="center" wrapText="1"/>
      <protection hidden="1"/>
    </xf>
    <xf numFmtId="0" fontId="3" fillId="8" borderId="6" xfId="2" applyFont="1" applyFill="1" applyBorder="1" applyAlignment="1" applyProtection="1">
      <alignment horizontal="left" vertical="center"/>
      <protection hidden="1"/>
    </xf>
    <xf numFmtId="0" fontId="3" fillId="8" borderId="8" xfId="2" applyFont="1" applyFill="1" applyBorder="1" applyAlignment="1" applyProtection="1">
      <alignment horizontal="left" vertical="center"/>
      <protection hidden="1"/>
    </xf>
    <xf numFmtId="0" fontId="3" fillId="8" borderId="3" xfId="2" applyFont="1" applyFill="1" applyBorder="1" applyAlignment="1" applyProtection="1">
      <alignment horizontal="left" vertical="center"/>
      <protection hidden="1"/>
    </xf>
    <xf numFmtId="0" fontId="11" fillId="7" borderId="6" xfId="2" applyFont="1" applyFill="1" applyBorder="1" applyAlignment="1" applyProtection="1">
      <alignment horizontal="center" vertical="center"/>
      <protection hidden="1"/>
    </xf>
    <xf numFmtId="0" fontId="11" fillId="7" borderId="3" xfId="2" applyFont="1" applyFill="1" applyBorder="1" applyAlignment="1" applyProtection="1">
      <alignment horizontal="center" vertical="center"/>
      <protection hidden="1"/>
    </xf>
    <xf numFmtId="1" fontId="11" fillId="12" borderId="6" xfId="2" applyNumberFormat="1" applyFont="1" applyFill="1" applyBorder="1" applyAlignment="1" applyProtection="1">
      <alignment horizontal="center" vertical="center"/>
      <protection hidden="1"/>
    </xf>
    <xf numFmtId="1" fontId="11" fillId="12" borderId="3" xfId="2" applyNumberFormat="1" applyFont="1" applyFill="1" applyBorder="1" applyAlignment="1" applyProtection="1">
      <alignment horizontal="center" vertical="center"/>
      <protection hidden="1"/>
    </xf>
    <xf numFmtId="1" fontId="6" fillId="5" borderId="1" xfId="2" applyNumberFormat="1" applyFont="1" applyFill="1" applyBorder="1" applyAlignment="1" applyProtection="1">
      <alignment horizontal="right" vertical="center"/>
      <protection hidden="1"/>
    </xf>
    <xf numFmtId="0" fontId="37" fillId="10" borderId="0" xfId="2" applyFont="1" applyFill="1" applyAlignment="1" applyProtection="1">
      <alignment horizontal="center" vertical="center"/>
      <protection hidden="1"/>
    </xf>
    <xf numFmtId="0" fontId="36" fillId="10" borderId="0" xfId="2" applyFont="1" applyFill="1" applyAlignment="1" applyProtection="1">
      <alignment horizontal="center" vertical="center"/>
      <protection hidden="1"/>
    </xf>
    <xf numFmtId="0" fontId="2" fillId="10" borderId="0" xfId="2" applyFill="1" applyAlignment="1" applyProtection="1">
      <alignment horizontal="center" vertical="center" wrapText="1"/>
      <protection hidden="1"/>
    </xf>
    <xf numFmtId="0" fontId="32" fillId="9" borderId="28" xfId="2" applyFont="1" applyFill="1" applyBorder="1" applyAlignment="1" applyProtection="1">
      <alignment horizontal="center" vertical="center"/>
      <protection hidden="1"/>
    </xf>
    <xf numFmtId="0" fontId="32" fillId="9" borderId="1" xfId="2" applyFont="1" applyFill="1" applyBorder="1" applyAlignment="1" applyProtection="1">
      <alignment horizontal="center" vertical="center"/>
      <protection hidden="1"/>
    </xf>
    <xf numFmtId="0" fontId="30" fillId="9" borderId="0" xfId="0" applyFont="1" applyFill="1" applyAlignment="1">
      <alignment horizontal="left" indent="4"/>
    </xf>
    <xf numFmtId="0" fontId="10" fillId="4" borderId="10" xfId="2" applyFont="1" applyFill="1" applyBorder="1" applyAlignment="1" applyProtection="1">
      <alignment horizontal="center" vertical="center" wrapText="1"/>
      <protection hidden="1"/>
    </xf>
    <xf numFmtId="0" fontId="10" fillId="4" borderId="11" xfId="2" applyFont="1" applyFill="1" applyBorder="1" applyAlignment="1" applyProtection="1">
      <alignment horizontal="center" vertical="center" wrapText="1"/>
      <protection hidden="1"/>
    </xf>
    <xf numFmtId="0" fontId="10" fillId="4" borderId="12" xfId="2" applyFont="1" applyFill="1" applyBorder="1" applyAlignment="1" applyProtection="1">
      <alignment horizontal="center" vertical="center" wrapText="1"/>
      <protection hidden="1"/>
    </xf>
    <xf numFmtId="0" fontId="10" fillId="4" borderId="0" xfId="2" applyFont="1" applyFill="1" applyAlignment="1" applyProtection="1">
      <alignment horizontal="center" vertical="center" wrapText="1"/>
      <protection hidden="1"/>
    </xf>
    <xf numFmtId="0" fontId="10" fillId="4" borderId="13" xfId="2" applyFont="1" applyFill="1" applyBorder="1" applyAlignment="1" applyProtection="1">
      <alignment horizontal="center" vertical="center" wrapText="1"/>
      <protection hidden="1"/>
    </xf>
    <xf numFmtId="0" fontId="10" fillId="4" borderId="14" xfId="2" applyFont="1" applyFill="1" applyBorder="1" applyAlignment="1" applyProtection="1">
      <alignment horizontal="center" vertical="center" wrapText="1"/>
      <protection hidden="1"/>
    </xf>
    <xf numFmtId="0" fontId="9" fillId="5" borderId="29" xfId="2" applyFont="1" applyFill="1" applyBorder="1" applyAlignment="1" applyProtection="1">
      <alignment horizontal="center" vertical="center"/>
      <protection hidden="1"/>
    </xf>
    <xf numFmtId="0" fontId="9" fillId="5" borderId="21" xfId="2" applyFont="1" applyFill="1" applyBorder="1" applyAlignment="1" applyProtection="1">
      <alignment horizontal="center" vertical="center"/>
      <protection hidden="1"/>
    </xf>
    <xf numFmtId="0" fontId="32" fillId="9" borderId="29" xfId="2" applyFont="1" applyFill="1" applyBorder="1" applyAlignment="1" applyProtection="1">
      <alignment horizontal="center" vertical="center"/>
      <protection hidden="1"/>
    </xf>
    <xf numFmtId="0" fontId="32" fillId="9" borderId="21" xfId="2" applyFont="1" applyFill="1" applyBorder="1" applyAlignment="1" applyProtection="1">
      <alignment horizontal="center" vertical="center"/>
      <protection hidden="1"/>
    </xf>
    <xf numFmtId="0" fontId="9" fillId="2" borderId="25" xfId="2" applyFont="1" applyFill="1" applyBorder="1" applyAlignment="1" applyProtection="1">
      <alignment horizontal="center" vertical="center" wrapText="1"/>
      <protection hidden="1"/>
    </xf>
    <xf numFmtId="0" fontId="9" fillId="2" borderId="19" xfId="2" applyFont="1" applyFill="1" applyBorder="1" applyAlignment="1" applyProtection="1">
      <alignment horizontal="center" vertical="center"/>
      <protection hidden="1"/>
    </xf>
    <xf numFmtId="0" fontId="9" fillId="2" borderId="20" xfId="2" applyFont="1" applyFill="1" applyBorder="1" applyAlignment="1" applyProtection="1">
      <alignment horizontal="center" vertical="center"/>
      <protection hidden="1"/>
    </xf>
    <xf numFmtId="0" fontId="9" fillId="2" borderId="28" xfId="2" applyFont="1" applyFill="1" applyBorder="1" applyAlignment="1" applyProtection="1">
      <alignment horizontal="center" vertical="center"/>
      <protection hidden="1"/>
    </xf>
    <xf numFmtId="0" fontId="9" fillId="2" borderId="1" xfId="2" applyFont="1" applyFill="1" applyBorder="1" applyAlignment="1" applyProtection="1">
      <alignment horizontal="center" vertical="center"/>
      <protection hidden="1"/>
    </xf>
    <xf numFmtId="0" fontId="9" fillId="2" borderId="2" xfId="2" applyFont="1" applyFill="1" applyBorder="1" applyAlignment="1" applyProtection="1">
      <alignment horizontal="center" vertical="center"/>
      <protection hidden="1"/>
    </xf>
    <xf numFmtId="0" fontId="9" fillId="5" borderId="28" xfId="2" applyFont="1" applyFill="1" applyBorder="1" applyAlignment="1" applyProtection="1">
      <alignment horizontal="center" vertical="center"/>
      <protection hidden="1"/>
    </xf>
    <xf numFmtId="0" fontId="9" fillId="5" borderId="1" xfId="2" applyFont="1" applyFill="1" applyBorder="1" applyAlignment="1" applyProtection="1">
      <alignment horizontal="center" vertical="center"/>
      <protection hidden="1"/>
    </xf>
    <xf numFmtId="0" fontId="3" fillId="10" borderId="6" xfId="2" applyFont="1" applyFill="1" applyBorder="1" applyAlignment="1" applyProtection="1">
      <alignment horizontal="left" vertical="center"/>
      <protection hidden="1"/>
    </xf>
    <xf numFmtId="0" fontId="3" fillId="10" borderId="8" xfId="2" applyFont="1" applyFill="1" applyBorder="1" applyAlignment="1" applyProtection="1">
      <alignment horizontal="left" vertical="center"/>
      <protection hidden="1"/>
    </xf>
    <xf numFmtId="0" fontId="3" fillId="10" borderId="3" xfId="2" applyFont="1" applyFill="1" applyBorder="1" applyAlignment="1" applyProtection="1">
      <alignment horizontal="left" vertical="center"/>
      <protection hidden="1"/>
    </xf>
    <xf numFmtId="0" fontId="34" fillId="2" borderId="25" xfId="2" applyFont="1" applyFill="1" applyBorder="1" applyAlignment="1" applyProtection="1">
      <alignment horizontal="center" vertical="center"/>
      <protection hidden="1"/>
    </xf>
    <xf numFmtId="0" fontId="34" fillId="2" borderId="19" xfId="2" applyFont="1" applyFill="1" applyBorder="1" applyAlignment="1" applyProtection="1">
      <alignment horizontal="center" vertical="center"/>
      <protection hidden="1"/>
    </xf>
    <xf numFmtId="0" fontId="34" fillId="2" borderId="20" xfId="2" applyFont="1" applyFill="1" applyBorder="1" applyAlignment="1" applyProtection="1">
      <alignment horizontal="center" vertical="center"/>
      <protection hidden="1"/>
    </xf>
    <xf numFmtId="0" fontId="9" fillId="10" borderId="23" xfId="2" applyFont="1" applyFill="1" applyBorder="1" applyAlignment="1" applyProtection="1">
      <alignment horizontal="center" vertical="center"/>
      <protection hidden="1"/>
    </xf>
    <xf numFmtId="0" fontId="9" fillId="10" borderId="30" xfId="2" applyFont="1" applyFill="1" applyBorder="1" applyAlignment="1" applyProtection="1">
      <alignment horizontal="center" vertical="center"/>
      <protection hidden="1"/>
    </xf>
    <xf numFmtId="0" fontId="28" fillId="10" borderId="1" xfId="2" applyFont="1" applyFill="1" applyBorder="1" applyAlignment="1" applyProtection="1">
      <alignment horizontal="center" vertical="center"/>
      <protection hidden="1"/>
    </xf>
    <xf numFmtId="0" fontId="2" fillId="10" borderId="0" xfId="2" applyFill="1" applyAlignment="1" applyProtection="1">
      <alignment horizontal="center" vertical="center"/>
      <protection hidden="1"/>
    </xf>
    <xf numFmtId="0" fontId="24" fillId="10" borderId="1" xfId="2" applyFont="1" applyFill="1" applyBorder="1" applyAlignment="1" applyProtection="1">
      <alignment horizontal="center" vertical="center"/>
      <protection hidden="1"/>
    </xf>
    <xf numFmtId="0" fontId="3" fillId="10" borderId="1" xfId="2" applyFont="1" applyFill="1" applyBorder="1" applyAlignment="1" applyProtection="1">
      <alignment horizontal="left" vertical="center"/>
      <protection hidden="1"/>
    </xf>
    <xf numFmtId="0" fontId="2" fillId="10" borderId="6" xfId="2" applyFill="1" applyBorder="1" applyAlignment="1" applyProtection="1">
      <alignment horizontal="center" vertical="center"/>
      <protection hidden="1"/>
    </xf>
    <xf numFmtId="0" fontId="2" fillId="10" borderId="3" xfId="2" applyFill="1" applyBorder="1" applyAlignment="1" applyProtection="1">
      <alignment horizontal="center" vertical="center"/>
      <protection hidden="1"/>
    </xf>
    <xf numFmtId="0" fontId="25" fillId="10" borderId="1" xfId="2" applyFont="1" applyFill="1" applyBorder="1" applyAlignment="1" applyProtection="1">
      <alignment horizontal="center" vertical="center"/>
      <protection hidden="1"/>
    </xf>
    <xf numFmtId="0" fontId="26" fillId="10" borderId="1" xfId="2" applyFont="1" applyFill="1" applyBorder="1" applyAlignment="1" applyProtection="1">
      <alignment horizontal="center" vertical="center"/>
      <protection hidden="1"/>
    </xf>
    <xf numFmtId="0" fontId="27" fillId="10" borderId="1" xfId="2" applyFont="1" applyFill="1" applyBorder="1" applyAlignment="1" applyProtection="1">
      <alignment horizontal="center" vertical="center" wrapText="1"/>
      <protection hidden="1"/>
    </xf>
    <xf numFmtId="0" fontId="28" fillId="10" borderId="1" xfId="2" applyFont="1" applyFill="1" applyBorder="1" applyAlignment="1" applyProtection="1">
      <alignment horizontal="right" vertical="center" readingOrder="1"/>
      <protection hidden="1"/>
    </xf>
    <xf numFmtId="0" fontId="28" fillId="10" borderId="1" xfId="2" applyFont="1" applyFill="1" applyBorder="1" applyAlignment="1" applyProtection="1">
      <alignment horizontal="left" vertical="center" readingOrder="1"/>
      <protection hidden="1"/>
    </xf>
    <xf numFmtId="0" fontId="5" fillId="10" borderId="1" xfId="2" applyFont="1" applyFill="1" applyBorder="1" applyAlignment="1" applyProtection="1">
      <alignment horizontal="center" vertical="center"/>
      <protection hidden="1"/>
    </xf>
  </cellXfs>
  <cellStyles count="3">
    <cellStyle name="Normal" xfId="0" builtinId="0"/>
    <cellStyle name="Normal 2" xfId="2" xr:uid="{54C7BEBF-E5E9-6249-9440-49875D356969}"/>
    <cellStyle name="Percent" xfId="1" builtinId="5"/>
  </cellStyles>
  <dxfs count="3">
    <dxf>
      <fill>
        <patternFill>
          <bgColor rgb="FFFFFF00"/>
        </patternFill>
      </fill>
    </dxf>
    <dxf>
      <font>
        <color rgb="FFFFFF00"/>
      </font>
      <fill>
        <patternFill>
          <bgColor rgb="FFFF0000"/>
        </patternFill>
      </fill>
    </dxf>
    <dxf>
      <font>
        <color rgb="FFFFFD78"/>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BEBEB"/>
      <color rgb="FFFBF4EE"/>
      <color rgb="FFFF9300"/>
      <color rgb="FF0432FF"/>
      <color rgb="FF00FA00"/>
      <color rgb="FF93C4EA"/>
      <color rgb="FFFFFDD5"/>
      <color rgb="FFFFFD78"/>
      <color rgb="FFF0E379"/>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128155</xdr:colOff>
      <xdr:row>62</xdr:row>
      <xdr:rowOff>120071</xdr:rowOff>
    </xdr:from>
    <xdr:to>
      <xdr:col>10</xdr:col>
      <xdr:colOff>1104900</xdr:colOff>
      <xdr:row>71</xdr:row>
      <xdr:rowOff>342900</xdr:rowOff>
    </xdr:to>
    <xdr:sp macro="" textlink="">
      <xdr:nvSpPr>
        <xdr:cNvPr id="2" name="Cloud 1">
          <a:extLst>
            <a:ext uri="{FF2B5EF4-FFF2-40B4-BE49-F238E27FC236}">
              <a16:creationId xmlns:a16="http://schemas.microsoft.com/office/drawing/2014/main" id="{2E0FD3DF-3958-C642-965F-54BFF86460B6}"/>
            </a:ext>
          </a:extLst>
        </xdr:cNvPr>
        <xdr:cNvSpPr/>
      </xdr:nvSpPr>
      <xdr:spPr>
        <a:xfrm>
          <a:off x="11532755" y="20211471"/>
          <a:ext cx="5701145" cy="3651829"/>
        </a:xfrm>
        <a:prstGeom prst="cloud">
          <a:avLst/>
        </a:prstGeom>
        <a:solidFill>
          <a:srgbClr val="0432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i="1">
              <a:latin typeface="Montserrat Medium" pitchFamily="2" charset="77"/>
            </a:rPr>
            <a:t>The</a:t>
          </a:r>
          <a:r>
            <a:rPr lang="en-US" sz="1200" b="0" i="1" baseline="0">
              <a:latin typeface="Montserrat Medium" pitchFamily="2" charset="77"/>
            </a:rPr>
            <a:t> RA calculation requires all values to be expressed in units of ˚dH (based on CaO equivalents).  This table helps explain the RA calculations above.  The strange ratios of (50/20) and (28/20) are equivalent weights based on charge density.  Don't ponder too much unless you want a headache.</a:t>
          </a:r>
        </a:p>
      </xdr:txBody>
    </xdr:sp>
    <xdr:clientData/>
  </xdr:twoCellAnchor>
  <xdr:twoCellAnchor>
    <xdr:from>
      <xdr:col>1</xdr:col>
      <xdr:colOff>2332182</xdr:colOff>
      <xdr:row>11</xdr:row>
      <xdr:rowOff>36558</xdr:rowOff>
    </xdr:from>
    <xdr:to>
      <xdr:col>2</xdr:col>
      <xdr:colOff>146397</xdr:colOff>
      <xdr:row>11</xdr:row>
      <xdr:rowOff>349249</xdr:rowOff>
    </xdr:to>
    <xdr:sp macro="" textlink="">
      <xdr:nvSpPr>
        <xdr:cNvPr id="3" name="Striped Right Arrow 2">
          <a:extLst>
            <a:ext uri="{FF2B5EF4-FFF2-40B4-BE49-F238E27FC236}">
              <a16:creationId xmlns:a16="http://schemas.microsoft.com/office/drawing/2014/main" id="{6A3A21DB-4F6F-5F49-943E-BE6467365B8F}"/>
            </a:ext>
          </a:extLst>
        </xdr:cNvPr>
        <xdr:cNvSpPr/>
      </xdr:nvSpPr>
      <xdr:spPr>
        <a:xfrm>
          <a:off x="3290455" y="6513558"/>
          <a:ext cx="365760" cy="312691"/>
        </a:xfrm>
        <a:prstGeom prst="stripedRigh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r"/>
          <a:endParaRPr lang="en-US" sz="1100"/>
        </a:p>
      </xdr:txBody>
    </xdr:sp>
    <xdr:clientData/>
  </xdr:twoCellAnchor>
  <xdr:twoCellAnchor>
    <xdr:from>
      <xdr:col>1</xdr:col>
      <xdr:colOff>2355272</xdr:colOff>
      <xdr:row>17</xdr:row>
      <xdr:rowOff>42333</xdr:rowOff>
    </xdr:from>
    <xdr:to>
      <xdr:col>2</xdr:col>
      <xdr:colOff>169908</xdr:colOff>
      <xdr:row>17</xdr:row>
      <xdr:rowOff>355024</xdr:rowOff>
    </xdr:to>
    <xdr:sp macro="" textlink="">
      <xdr:nvSpPr>
        <xdr:cNvPr id="4" name="Striped Right Arrow 3">
          <a:extLst>
            <a:ext uri="{FF2B5EF4-FFF2-40B4-BE49-F238E27FC236}">
              <a16:creationId xmlns:a16="http://schemas.microsoft.com/office/drawing/2014/main" id="{CAE5ECF3-4D7F-1F4D-8D3C-E327A6237B13}"/>
            </a:ext>
          </a:extLst>
        </xdr:cNvPr>
        <xdr:cNvSpPr/>
      </xdr:nvSpPr>
      <xdr:spPr>
        <a:xfrm>
          <a:off x="3313545" y="7789333"/>
          <a:ext cx="366181" cy="312691"/>
        </a:xfrm>
        <a:prstGeom prst="stripedRigh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1</xdr:col>
      <xdr:colOff>2343726</xdr:colOff>
      <xdr:row>21</xdr:row>
      <xdr:rowOff>42333</xdr:rowOff>
    </xdr:from>
    <xdr:to>
      <xdr:col>2</xdr:col>
      <xdr:colOff>161440</xdr:colOff>
      <xdr:row>21</xdr:row>
      <xdr:rowOff>355024</xdr:rowOff>
    </xdr:to>
    <xdr:sp macro="" textlink="">
      <xdr:nvSpPr>
        <xdr:cNvPr id="5" name="Striped Right Arrow 4">
          <a:extLst>
            <a:ext uri="{FF2B5EF4-FFF2-40B4-BE49-F238E27FC236}">
              <a16:creationId xmlns:a16="http://schemas.microsoft.com/office/drawing/2014/main" id="{093044D8-2CC9-414B-82D8-DFAA94BC178F}"/>
            </a:ext>
          </a:extLst>
        </xdr:cNvPr>
        <xdr:cNvSpPr/>
      </xdr:nvSpPr>
      <xdr:spPr>
        <a:xfrm>
          <a:off x="3301999" y="9059333"/>
          <a:ext cx="369259" cy="312691"/>
        </a:xfrm>
        <a:prstGeom prst="stripedRigh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1</xdr:col>
      <xdr:colOff>2355272</xdr:colOff>
      <xdr:row>7</xdr:row>
      <xdr:rowOff>50800</xdr:rowOff>
    </xdr:from>
    <xdr:to>
      <xdr:col>2</xdr:col>
      <xdr:colOff>165674</xdr:colOff>
      <xdr:row>7</xdr:row>
      <xdr:rowOff>363491</xdr:rowOff>
    </xdr:to>
    <xdr:sp macro="" textlink="">
      <xdr:nvSpPr>
        <xdr:cNvPr id="6" name="Striped Right Arrow 5">
          <a:extLst>
            <a:ext uri="{FF2B5EF4-FFF2-40B4-BE49-F238E27FC236}">
              <a16:creationId xmlns:a16="http://schemas.microsoft.com/office/drawing/2014/main" id="{75FCCA2C-1B78-4243-AFFF-B37F15DA8654}"/>
            </a:ext>
          </a:extLst>
        </xdr:cNvPr>
        <xdr:cNvSpPr/>
      </xdr:nvSpPr>
      <xdr:spPr>
        <a:xfrm>
          <a:off x="3313545" y="5257800"/>
          <a:ext cx="361947" cy="312691"/>
        </a:xfrm>
        <a:prstGeom prst="stripedRigh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1</xdr:col>
      <xdr:colOff>2355272</xdr:colOff>
      <xdr:row>29</xdr:row>
      <xdr:rowOff>50800</xdr:rowOff>
    </xdr:from>
    <xdr:to>
      <xdr:col>2</xdr:col>
      <xdr:colOff>165674</xdr:colOff>
      <xdr:row>29</xdr:row>
      <xdr:rowOff>363491</xdr:rowOff>
    </xdr:to>
    <xdr:sp macro="" textlink="">
      <xdr:nvSpPr>
        <xdr:cNvPr id="7" name="Striped Right Arrow 6">
          <a:extLst>
            <a:ext uri="{FF2B5EF4-FFF2-40B4-BE49-F238E27FC236}">
              <a16:creationId xmlns:a16="http://schemas.microsoft.com/office/drawing/2014/main" id="{28CEB63B-79EA-C844-9619-578B92C50F50}"/>
            </a:ext>
          </a:extLst>
        </xdr:cNvPr>
        <xdr:cNvSpPr/>
      </xdr:nvSpPr>
      <xdr:spPr>
        <a:xfrm>
          <a:off x="2851727" y="9067800"/>
          <a:ext cx="361947" cy="312691"/>
        </a:xfrm>
        <a:prstGeom prst="stripedRigh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1028700</xdr:colOff>
      <xdr:row>29</xdr:row>
      <xdr:rowOff>38099</xdr:rowOff>
    </xdr:from>
    <xdr:to>
      <xdr:col>4</xdr:col>
      <xdr:colOff>215900</xdr:colOff>
      <xdr:row>30</xdr:row>
      <xdr:rowOff>25399</xdr:rowOff>
    </xdr:to>
    <xdr:sp macro="" textlink="">
      <xdr:nvSpPr>
        <xdr:cNvPr id="8" name="Striped Right Arrow 7">
          <a:extLst>
            <a:ext uri="{FF2B5EF4-FFF2-40B4-BE49-F238E27FC236}">
              <a16:creationId xmlns:a16="http://schemas.microsoft.com/office/drawing/2014/main" id="{6D412F3A-15FB-D84A-BDE4-FFAC90573EEE}"/>
            </a:ext>
          </a:extLst>
        </xdr:cNvPr>
        <xdr:cNvSpPr/>
      </xdr:nvSpPr>
      <xdr:spPr>
        <a:xfrm rot="10800000">
          <a:off x="5288973" y="9055099"/>
          <a:ext cx="399472" cy="368300"/>
        </a:xfrm>
        <a:prstGeom prst="stripedRigh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241300</xdr:colOff>
      <xdr:row>28</xdr:row>
      <xdr:rowOff>165100</xdr:rowOff>
    </xdr:from>
    <xdr:to>
      <xdr:col>3</xdr:col>
      <xdr:colOff>685800</xdr:colOff>
      <xdr:row>29</xdr:row>
      <xdr:rowOff>63500</xdr:rowOff>
    </xdr:to>
    <xdr:sp macro="" textlink="">
      <xdr:nvSpPr>
        <xdr:cNvPr id="11" name="Bent Arrow 10">
          <a:extLst>
            <a:ext uri="{FF2B5EF4-FFF2-40B4-BE49-F238E27FC236}">
              <a16:creationId xmlns:a16="http://schemas.microsoft.com/office/drawing/2014/main" id="{87F99477-021B-A84B-84B5-2E2F50821853}"/>
            </a:ext>
          </a:extLst>
        </xdr:cNvPr>
        <xdr:cNvSpPr/>
      </xdr:nvSpPr>
      <xdr:spPr>
        <a:xfrm rot="5400000">
          <a:off x="4578350" y="10750550"/>
          <a:ext cx="279400" cy="444500"/>
        </a:xfrm>
        <a:prstGeom prst="ben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solidFill>
              <a:schemeClr val="tx1"/>
            </a:solidFill>
          </a:endParaRPr>
        </a:p>
      </xdr:txBody>
    </xdr:sp>
    <xdr:clientData/>
  </xdr:twoCellAnchor>
  <xdr:twoCellAnchor>
    <xdr:from>
      <xdr:col>2</xdr:col>
      <xdr:colOff>546100</xdr:colOff>
      <xdr:row>28</xdr:row>
      <xdr:rowOff>165100</xdr:rowOff>
    </xdr:from>
    <xdr:to>
      <xdr:col>2</xdr:col>
      <xdr:colOff>990600</xdr:colOff>
      <xdr:row>29</xdr:row>
      <xdr:rowOff>63500</xdr:rowOff>
    </xdr:to>
    <xdr:sp macro="" textlink="">
      <xdr:nvSpPr>
        <xdr:cNvPr id="12" name="Bent Arrow 11">
          <a:extLst>
            <a:ext uri="{FF2B5EF4-FFF2-40B4-BE49-F238E27FC236}">
              <a16:creationId xmlns:a16="http://schemas.microsoft.com/office/drawing/2014/main" id="{7266982E-9D65-8E4E-B88C-FB8E07ABACE2}"/>
            </a:ext>
          </a:extLst>
        </xdr:cNvPr>
        <xdr:cNvSpPr/>
      </xdr:nvSpPr>
      <xdr:spPr>
        <a:xfrm rot="16200000" flipH="1">
          <a:off x="3676650" y="10750550"/>
          <a:ext cx="279400" cy="444500"/>
        </a:xfrm>
        <a:prstGeom prst="bentArrow">
          <a:avLst/>
        </a:prstGeom>
        <a:solidFill>
          <a:srgbClr val="FFFD78"/>
        </a:solidFill>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solidFill>
              <a:schemeClr val="tx1"/>
            </a:solidFill>
          </a:endParaRPr>
        </a:p>
      </xdr:txBody>
    </xdr:sp>
    <xdr:clientData/>
  </xdr:twoCellAnchor>
  <xdr:twoCellAnchor>
    <xdr:from>
      <xdr:col>7</xdr:col>
      <xdr:colOff>476807</xdr:colOff>
      <xdr:row>12</xdr:row>
      <xdr:rowOff>46185</xdr:rowOff>
    </xdr:from>
    <xdr:to>
      <xdr:col>7</xdr:col>
      <xdr:colOff>789498</xdr:colOff>
      <xdr:row>15</xdr:row>
      <xdr:rowOff>318057</xdr:rowOff>
    </xdr:to>
    <xdr:sp macro="" textlink="">
      <xdr:nvSpPr>
        <xdr:cNvPr id="13" name="Striped Right Arrow 12">
          <a:extLst>
            <a:ext uri="{FF2B5EF4-FFF2-40B4-BE49-F238E27FC236}">
              <a16:creationId xmlns:a16="http://schemas.microsoft.com/office/drawing/2014/main" id="{C9E1104E-9CFC-B54F-9FEE-C505614A0A6A}"/>
            </a:ext>
          </a:extLst>
        </xdr:cNvPr>
        <xdr:cNvSpPr/>
      </xdr:nvSpPr>
      <xdr:spPr>
        <a:xfrm rot="5400000">
          <a:off x="9289081" y="4153275"/>
          <a:ext cx="906872" cy="312691"/>
        </a:xfrm>
        <a:prstGeom prst="stripedRightArrow">
          <a:avLst>
            <a:gd name="adj1" fmla="val 50001"/>
            <a:gd name="adj2" fmla="val 50000"/>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83AD-795D-A144-82AC-289D120121D0}">
  <sheetPr codeName="Sheet4"/>
  <dimension ref="A1:Q207"/>
  <sheetViews>
    <sheetView showGridLines="0" showRowColHeaders="0" tabSelected="1" topLeftCell="A5" zoomScale="110" zoomScaleNormal="110" workbookViewId="0">
      <selection activeCell="C12" sqref="C12"/>
    </sheetView>
  </sheetViews>
  <sheetFormatPr baseColWidth="10" defaultRowHeight="14"/>
  <cols>
    <col min="1" max="1" width="5.5703125" customWidth="1"/>
    <col min="2" max="2" width="28.7109375" customWidth="1"/>
    <col min="3" max="11" width="13.5703125" customWidth="1"/>
    <col min="12" max="12" width="3.85546875" customWidth="1"/>
    <col min="13" max="13" width="16.5703125" customWidth="1"/>
    <col min="14" max="17" width="12.5703125" style="1" customWidth="1"/>
  </cols>
  <sheetData>
    <row r="1" spans="1:17" ht="30" customHeight="1">
      <c r="A1" s="6"/>
      <c r="B1" s="85"/>
      <c r="C1" s="85"/>
      <c r="D1" s="6"/>
      <c r="E1" s="6"/>
      <c r="F1" s="6"/>
      <c r="G1" s="6"/>
      <c r="H1" s="6"/>
      <c r="I1" s="6"/>
      <c r="J1" s="6"/>
      <c r="K1" s="6"/>
      <c r="L1" s="6"/>
      <c r="M1" s="1"/>
    </row>
    <row r="2" spans="1:17" ht="30" customHeight="1">
      <c r="A2" s="6"/>
      <c r="B2" s="137" t="s">
        <v>0</v>
      </c>
      <c r="C2" s="137"/>
      <c r="D2" s="137"/>
      <c r="E2" s="137"/>
      <c r="F2" s="137"/>
      <c r="G2" s="137"/>
      <c r="H2" s="137"/>
      <c r="I2" s="137"/>
      <c r="J2" s="137"/>
      <c r="K2" s="137"/>
      <c r="L2" s="7"/>
      <c r="M2" s="136" t="s">
        <v>94</v>
      </c>
      <c r="N2" s="136"/>
      <c r="O2" s="136"/>
      <c r="P2" s="136"/>
      <c r="Q2" s="136"/>
    </row>
    <row r="3" spans="1:17" ht="10" customHeight="1">
      <c r="A3" s="6"/>
      <c r="B3" s="8"/>
      <c r="C3" s="8"/>
      <c r="D3" s="8"/>
      <c r="E3" s="8"/>
      <c r="F3" s="8"/>
      <c r="G3" s="8"/>
      <c r="H3" s="8"/>
      <c r="I3" s="8"/>
      <c r="J3" s="8"/>
      <c r="K3" s="8"/>
      <c r="L3" s="7"/>
      <c r="M3" s="136"/>
      <c r="N3" s="136"/>
      <c r="O3" s="136"/>
      <c r="P3" s="136"/>
      <c r="Q3" s="136"/>
    </row>
    <row r="4" spans="1:17" ht="30" customHeight="1">
      <c r="A4" s="6"/>
      <c r="B4" s="138" t="s">
        <v>85</v>
      </c>
      <c r="C4" s="139"/>
      <c r="D4" s="139"/>
      <c r="E4" s="139"/>
      <c r="F4" s="139"/>
      <c r="G4" s="139"/>
      <c r="H4" s="139"/>
      <c r="I4" s="139"/>
      <c r="J4" s="139"/>
      <c r="K4" s="139"/>
      <c r="L4" s="6"/>
      <c r="M4" s="136"/>
      <c r="N4" s="136"/>
      <c r="O4" s="136"/>
      <c r="P4" s="136"/>
      <c r="Q4" s="136"/>
    </row>
    <row r="5" spans="1:17" ht="10" customHeight="1">
      <c r="A5" s="6"/>
      <c r="B5" s="11"/>
      <c r="C5" s="12"/>
      <c r="D5" s="13"/>
      <c r="E5" s="14"/>
      <c r="F5" s="15"/>
      <c r="G5" s="15"/>
      <c r="H5" s="15"/>
      <c r="I5" s="16"/>
      <c r="J5" s="17" t="s">
        <v>30</v>
      </c>
      <c r="K5" s="18"/>
      <c r="L5" s="18"/>
      <c r="M5" s="136"/>
      <c r="N5" s="136"/>
      <c r="O5" s="136"/>
      <c r="P5" s="136"/>
      <c r="Q5" s="136"/>
    </row>
    <row r="6" spans="1:17" ht="30" customHeight="1">
      <c r="A6" s="6"/>
      <c r="B6" s="135" t="s">
        <v>31</v>
      </c>
      <c r="C6" s="135"/>
      <c r="D6" s="135"/>
      <c r="E6" s="135"/>
      <c r="F6" s="135"/>
      <c r="G6" s="135"/>
      <c r="H6" s="135"/>
      <c r="I6" s="135"/>
      <c r="J6" s="1"/>
      <c r="K6" s="1"/>
      <c r="L6" s="19"/>
      <c r="M6" s="136"/>
      <c r="N6" s="136"/>
      <c r="O6" s="136"/>
      <c r="P6" s="136"/>
      <c r="Q6" s="136"/>
    </row>
    <row r="7" spans="1:17" ht="30" customHeight="1">
      <c r="A7" s="6"/>
      <c r="B7" s="21" t="s">
        <v>33</v>
      </c>
      <c r="C7" s="22" t="s">
        <v>34</v>
      </c>
      <c r="D7" s="22" t="s">
        <v>93</v>
      </c>
      <c r="E7" s="22" t="s">
        <v>35</v>
      </c>
      <c r="F7" s="22" t="s">
        <v>36</v>
      </c>
      <c r="G7" s="22" t="s">
        <v>37</v>
      </c>
      <c r="H7" s="22" t="s">
        <v>38</v>
      </c>
      <c r="I7" s="22" t="s">
        <v>39</v>
      </c>
      <c r="J7" s="1"/>
      <c r="K7" s="1"/>
      <c r="L7" s="23"/>
      <c r="M7" s="136"/>
      <c r="N7" s="136"/>
      <c r="O7" s="136"/>
      <c r="P7" s="136"/>
      <c r="Q7" s="136"/>
    </row>
    <row r="8" spans="1:17" ht="30" customHeight="1">
      <c r="A8" s="6"/>
      <c r="B8" s="24" t="s">
        <v>40</v>
      </c>
      <c r="C8" s="2">
        <v>5.9</v>
      </c>
      <c r="D8" s="3">
        <v>50</v>
      </c>
      <c r="E8" s="3">
        <v>0</v>
      </c>
      <c r="F8" s="3">
        <v>5</v>
      </c>
      <c r="G8" s="3">
        <v>0</v>
      </c>
      <c r="H8" s="3">
        <v>5</v>
      </c>
      <c r="I8" s="2">
        <v>5.5</v>
      </c>
      <c r="J8" s="1"/>
      <c r="K8" s="1"/>
      <c r="L8" s="20"/>
      <c r="M8" s="136"/>
      <c r="N8" s="136"/>
      <c r="O8" s="136"/>
      <c r="P8" s="136"/>
      <c r="Q8" s="136"/>
    </row>
    <row r="9" spans="1:17" ht="30" customHeight="1">
      <c r="A9" s="6"/>
      <c r="B9" s="134" t="s">
        <v>99</v>
      </c>
      <c r="C9" s="134"/>
      <c r="D9" s="134"/>
      <c r="E9" s="134"/>
      <c r="F9" s="134"/>
      <c r="G9" s="134"/>
      <c r="H9" s="134"/>
      <c r="I9" s="134"/>
      <c r="J9" s="1"/>
      <c r="K9" s="1"/>
      <c r="L9" s="20"/>
      <c r="M9" s="136"/>
      <c r="N9" s="136"/>
      <c r="O9" s="136"/>
      <c r="P9" s="136"/>
      <c r="Q9" s="136"/>
    </row>
    <row r="10" spans="1:17" ht="10" customHeight="1">
      <c r="A10" s="6"/>
      <c r="B10" s="6"/>
      <c r="C10" s="6"/>
      <c r="D10" s="6"/>
      <c r="E10" s="25"/>
      <c r="F10" s="25"/>
      <c r="G10" s="7"/>
      <c r="H10" s="7"/>
      <c r="I10" s="7"/>
      <c r="J10" s="1"/>
      <c r="K10" s="1"/>
      <c r="L10" s="6"/>
      <c r="M10" s="136"/>
      <c r="N10" s="136"/>
      <c r="O10" s="136"/>
      <c r="P10" s="136"/>
      <c r="Q10" s="136"/>
    </row>
    <row r="11" spans="1:17" ht="30" customHeight="1">
      <c r="A11" s="6"/>
      <c r="B11" s="135" t="s">
        <v>41</v>
      </c>
      <c r="C11" s="135"/>
      <c r="D11" s="135"/>
      <c r="E11" s="135"/>
      <c r="F11" s="135"/>
      <c r="G11" s="7"/>
      <c r="H11" s="133" t="s">
        <v>98</v>
      </c>
      <c r="I11" s="133"/>
      <c r="J11" s="130" t="s">
        <v>96</v>
      </c>
      <c r="K11" s="129" t="s">
        <v>97</v>
      </c>
      <c r="L11" s="6"/>
      <c r="M11" s="136"/>
      <c r="N11" s="136"/>
      <c r="O11" s="136"/>
      <c r="P11" s="136"/>
      <c r="Q11" s="136"/>
    </row>
    <row r="12" spans="1:17" ht="30" customHeight="1">
      <c r="A12" s="6"/>
      <c r="B12" s="26" t="s">
        <v>42</v>
      </c>
      <c r="C12" s="4">
        <v>4</v>
      </c>
      <c r="D12" s="5" t="s">
        <v>3</v>
      </c>
      <c r="E12" s="27">
        <f>IF(D12="Liters",C12/100,IF(D12="hL",C12,IF(D12="BBL",(C12*31*3.785/100),IF(D12="Gallons",C12*3.785/100))))</f>
        <v>4</v>
      </c>
      <c r="F12" s="28">
        <f>E12*100</f>
        <v>400</v>
      </c>
      <c r="G12" s="29"/>
      <c r="H12" s="133"/>
      <c r="I12" s="133"/>
      <c r="J12" s="131">
        <v>295</v>
      </c>
      <c r="K12" s="132">
        <f>IFERROR(1.22*J12*(J12/J12),"")</f>
        <v>359.9</v>
      </c>
      <c r="L12" s="6"/>
      <c r="M12" s="136"/>
      <c r="N12" s="136"/>
      <c r="O12" s="136"/>
      <c r="P12" s="136"/>
      <c r="Q12" s="136"/>
    </row>
    <row r="13" spans="1:17" ht="10" customHeight="1">
      <c r="A13" s="6"/>
      <c r="B13" s="85"/>
      <c r="C13" s="89"/>
      <c r="D13" s="90"/>
      <c r="E13" s="91"/>
      <c r="F13" s="92"/>
      <c r="G13" s="29"/>
      <c r="H13" s="30"/>
      <c r="I13" s="6"/>
      <c r="J13" s="93"/>
      <c r="K13" s="93"/>
      <c r="L13" s="6"/>
      <c r="M13" s="136"/>
      <c r="N13" s="136"/>
      <c r="O13" s="136"/>
      <c r="P13" s="136"/>
      <c r="Q13" s="136"/>
    </row>
    <row r="14" spans="1:17" ht="30" customHeight="1">
      <c r="A14" s="6"/>
      <c r="B14" s="138" t="s">
        <v>86</v>
      </c>
      <c r="C14" s="139"/>
      <c r="D14" s="139"/>
      <c r="E14" s="139"/>
      <c r="F14" s="139"/>
      <c r="G14" s="139"/>
      <c r="H14" s="139"/>
      <c r="I14" s="139"/>
      <c r="J14" s="139"/>
      <c r="K14" s="139"/>
      <c r="L14" s="6"/>
      <c r="M14" s="136"/>
      <c r="N14" s="136"/>
      <c r="O14" s="136"/>
      <c r="P14" s="136"/>
      <c r="Q14" s="136"/>
    </row>
    <row r="15" spans="1:17" ht="10" customHeight="1">
      <c r="A15" s="6"/>
      <c r="B15" s="6"/>
      <c r="C15" s="6"/>
      <c r="D15" s="6"/>
      <c r="E15" s="25"/>
      <c r="F15" s="25"/>
      <c r="G15" s="7"/>
      <c r="H15" s="7"/>
      <c r="I15" s="7"/>
      <c r="J15" s="7"/>
      <c r="K15" s="7"/>
      <c r="L15" s="6"/>
      <c r="M15" s="136"/>
      <c r="N15" s="136"/>
      <c r="O15" s="136"/>
      <c r="P15" s="136"/>
      <c r="Q15" s="136"/>
    </row>
    <row r="16" spans="1:17" ht="30" customHeight="1">
      <c r="A16" s="6"/>
      <c r="B16" s="135" t="s">
        <v>43</v>
      </c>
      <c r="C16" s="135"/>
      <c r="D16" s="135"/>
      <c r="E16" s="135"/>
      <c r="F16" s="135"/>
      <c r="G16" s="135"/>
      <c r="H16" s="135"/>
      <c r="I16" s="135"/>
      <c r="J16" s="135"/>
      <c r="K16" s="135"/>
      <c r="L16" s="6"/>
      <c r="M16" s="136"/>
      <c r="N16" s="136"/>
      <c r="O16" s="136"/>
      <c r="P16" s="136"/>
      <c r="Q16" s="136"/>
    </row>
    <row r="17" spans="1:17" ht="30" customHeight="1">
      <c r="A17" s="6"/>
      <c r="B17" s="31" t="s">
        <v>44</v>
      </c>
      <c r="C17" s="32" t="s">
        <v>8</v>
      </c>
      <c r="D17" s="32" t="s">
        <v>11</v>
      </c>
      <c r="E17" s="32" t="s">
        <v>14</v>
      </c>
      <c r="F17" s="32" t="s">
        <v>17</v>
      </c>
      <c r="G17" s="32" t="s">
        <v>20</v>
      </c>
      <c r="H17" s="128" t="s">
        <v>22</v>
      </c>
      <c r="I17" s="32" t="s">
        <v>25</v>
      </c>
      <c r="J17" s="32" t="s">
        <v>28</v>
      </c>
      <c r="K17" s="10" t="s">
        <v>45</v>
      </c>
      <c r="L17" s="6"/>
      <c r="M17" s="136"/>
      <c r="N17" s="136"/>
      <c r="O17" s="136"/>
      <c r="P17" s="136"/>
      <c r="Q17" s="136"/>
    </row>
    <row r="18" spans="1:17" ht="30" customHeight="1">
      <c r="A18" s="6"/>
      <c r="B18" s="33" t="s">
        <v>1</v>
      </c>
      <c r="C18" s="81">
        <v>76</v>
      </c>
      <c r="D18" s="81">
        <v>8</v>
      </c>
      <c r="E18" s="81">
        <v>18</v>
      </c>
      <c r="F18" s="81">
        <v>59</v>
      </c>
      <c r="G18" s="81">
        <v>147</v>
      </c>
      <c r="H18" s="81">
        <v>360</v>
      </c>
      <c r="I18" s="34">
        <f>IFERROR(G18/F18,"NA")</f>
        <v>2.4915254237288136</v>
      </c>
      <c r="J18" s="35">
        <f>(H18*0.46/10)-((C18*1.4/10)/3.5)-((E18*2.3/10)/7)</f>
        <v>12.928571428571429</v>
      </c>
      <c r="K18" s="36">
        <f>$C$8+(J18*0.03)-($D$8*0.002)-($E$8*0.025)-($F$8*0.03)-($G$8*0.05)-($H$8*0.1)</f>
        <v>5.5378571428571428</v>
      </c>
      <c r="L18" s="6"/>
      <c r="M18" s="136"/>
      <c r="N18" s="136"/>
      <c r="O18" s="136"/>
      <c r="P18" s="136"/>
      <c r="Q18" s="136"/>
    </row>
    <row r="19" spans="1:17" ht="10" customHeight="1">
      <c r="A19" s="6"/>
      <c r="B19" s="6"/>
      <c r="C19" s="6"/>
      <c r="D19" s="6"/>
      <c r="E19" s="25"/>
      <c r="F19" s="25"/>
      <c r="G19" s="7"/>
      <c r="H19" s="7"/>
      <c r="I19" s="7"/>
      <c r="J19" s="7"/>
      <c r="K19" s="7"/>
      <c r="L19" s="6"/>
      <c r="M19" s="136"/>
      <c r="N19" s="136"/>
      <c r="O19" s="136"/>
      <c r="P19" s="136"/>
      <c r="Q19" s="136"/>
    </row>
    <row r="20" spans="1:17" ht="30" customHeight="1">
      <c r="A20" s="6"/>
      <c r="B20" s="135" t="s">
        <v>46</v>
      </c>
      <c r="C20" s="135"/>
      <c r="D20" s="135"/>
      <c r="E20" s="135"/>
      <c r="F20" s="135"/>
      <c r="G20" s="135"/>
      <c r="H20" s="135"/>
      <c r="I20" s="135"/>
      <c r="J20" s="135"/>
      <c r="K20" s="135"/>
      <c r="L20" s="6"/>
      <c r="M20" s="136"/>
      <c r="N20" s="136"/>
      <c r="O20" s="136"/>
      <c r="P20" s="136"/>
      <c r="Q20" s="136"/>
    </row>
    <row r="21" spans="1:17" ht="30" customHeight="1">
      <c r="A21" s="6"/>
      <c r="B21" s="31" t="s">
        <v>44</v>
      </c>
      <c r="C21" s="32" t="s">
        <v>8</v>
      </c>
      <c r="D21" s="32" t="s">
        <v>11</v>
      </c>
      <c r="E21" s="32" t="s">
        <v>14</v>
      </c>
      <c r="F21" s="32" t="s">
        <v>17</v>
      </c>
      <c r="G21" s="32" t="s">
        <v>20</v>
      </c>
      <c r="H21" s="32" t="s">
        <v>22</v>
      </c>
      <c r="I21" s="32" t="s">
        <v>25</v>
      </c>
      <c r="J21" s="32" t="s">
        <v>28</v>
      </c>
      <c r="K21" s="10" t="s">
        <v>45</v>
      </c>
      <c r="L21" s="6"/>
      <c r="M21" s="136"/>
      <c r="N21" s="136"/>
      <c r="O21" s="136"/>
      <c r="P21" s="136"/>
      <c r="Q21" s="136"/>
    </row>
    <row r="22" spans="1:17" ht="30" customHeight="1">
      <c r="A22" s="6"/>
      <c r="B22" s="33" t="s">
        <v>47</v>
      </c>
      <c r="C22" s="81">
        <v>76</v>
      </c>
      <c r="D22" s="81">
        <v>8</v>
      </c>
      <c r="E22" s="81">
        <v>18</v>
      </c>
      <c r="F22" s="81">
        <v>59</v>
      </c>
      <c r="G22" s="81">
        <v>147</v>
      </c>
      <c r="H22" s="81">
        <v>360</v>
      </c>
      <c r="I22" s="34">
        <f>IFERROR(G22/F22,"NA")</f>
        <v>2.4915254237288136</v>
      </c>
      <c r="J22" s="35">
        <f>(H22*0.46/10)-((C22*1.4/10)/3.5)-((E22*2.3/10)/7)</f>
        <v>12.928571428571429</v>
      </c>
      <c r="K22" s="36">
        <f>$C$8+(J22*0.03)-($D$8*0.002)-($E$8*0.025)-($F$8*0.03)-($G$8*0.05)-($H$8*0.1)</f>
        <v>5.5378571428571428</v>
      </c>
      <c r="L22" s="6"/>
      <c r="M22" s="136"/>
      <c r="N22" s="136"/>
      <c r="O22" s="136"/>
      <c r="P22" s="136"/>
      <c r="Q22" s="136"/>
    </row>
    <row r="23" spans="1:17" ht="30" customHeight="1">
      <c r="A23" s="6"/>
      <c r="B23" s="31" t="s">
        <v>48</v>
      </c>
      <c r="C23" s="37">
        <f>IFERROR((C22-C18)/C18,0)</f>
        <v>0</v>
      </c>
      <c r="D23" s="37">
        <f t="shared" ref="D23:G23" si="0">IFERROR((D22-D18)/D18,0)</f>
        <v>0</v>
      </c>
      <c r="E23" s="37">
        <f t="shared" si="0"/>
        <v>0</v>
      </c>
      <c r="F23" s="37">
        <f t="shared" si="0"/>
        <v>0</v>
      </c>
      <c r="G23" s="37">
        <f t="shared" si="0"/>
        <v>0</v>
      </c>
      <c r="H23" s="37">
        <f t="shared" ref="H23" si="1">IFERROR((H22-H18)/H18,"")</f>
        <v>0</v>
      </c>
      <c r="I23" s="38">
        <f>MIN(C23:H23)</f>
        <v>0</v>
      </c>
      <c r="J23" s="39"/>
      <c r="K23" s="40"/>
      <c r="L23" s="6"/>
      <c r="M23" s="136"/>
      <c r="N23" s="136"/>
      <c r="O23" s="136"/>
      <c r="P23" s="136"/>
      <c r="Q23" s="136"/>
    </row>
    <row r="24" spans="1:17" ht="10" customHeight="1">
      <c r="A24" s="6"/>
      <c r="B24" s="11"/>
      <c r="C24" s="127"/>
      <c r="D24" s="127"/>
      <c r="E24" s="127"/>
      <c r="F24" s="127"/>
      <c r="G24" s="127"/>
      <c r="H24" s="127"/>
      <c r="I24" s="38"/>
      <c r="J24" s="39"/>
      <c r="K24" s="40"/>
      <c r="L24" s="6"/>
      <c r="M24" s="136"/>
      <c r="N24" s="136"/>
      <c r="O24" s="136"/>
      <c r="P24" s="136"/>
      <c r="Q24" s="136"/>
    </row>
    <row r="25" spans="1:17" ht="30" customHeight="1">
      <c r="A25" s="6"/>
      <c r="B25" s="138" t="s">
        <v>87</v>
      </c>
      <c r="C25" s="139"/>
      <c r="D25" s="139"/>
      <c r="E25" s="139"/>
      <c r="F25" s="139"/>
      <c r="G25" s="139"/>
      <c r="H25" s="139"/>
      <c r="I25" s="139"/>
      <c r="J25" s="139"/>
      <c r="K25" s="139"/>
      <c r="L25" s="6"/>
      <c r="M25" s="136"/>
      <c r="N25" s="136"/>
      <c r="O25" s="136"/>
      <c r="P25" s="136"/>
      <c r="Q25" s="136"/>
    </row>
    <row r="26" spans="1:17" ht="10" customHeight="1">
      <c r="A26" s="6"/>
      <c r="B26" s="6"/>
      <c r="C26" s="6"/>
      <c r="D26" s="6"/>
      <c r="E26" s="25"/>
      <c r="F26" s="25"/>
      <c r="G26" s="7"/>
      <c r="H26" s="7"/>
      <c r="I26" s="7"/>
      <c r="J26" s="7"/>
      <c r="K26" s="7"/>
      <c r="L26" s="6"/>
      <c r="M26" s="136"/>
      <c r="N26" s="136"/>
      <c r="O26" s="136"/>
      <c r="P26" s="136"/>
      <c r="Q26" s="136"/>
    </row>
    <row r="27" spans="1:17" ht="30" customHeight="1">
      <c r="A27" s="6"/>
      <c r="B27" s="141" t="s">
        <v>49</v>
      </c>
      <c r="C27" s="142"/>
      <c r="D27" s="142"/>
      <c r="E27" s="142"/>
      <c r="F27" s="142"/>
      <c r="G27" s="143"/>
      <c r="H27" s="6"/>
      <c r="I27" s="149" t="str">
        <f>IF($K$22&lt;$I$8,"Predicted pH too low!","")</f>
        <v/>
      </c>
      <c r="J27" s="149"/>
      <c r="K27" s="149"/>
      <c r="L27" s="6"/>
      <c r="M27" s="136"/>
      <c r="N27" s="136"/>
      <c r="O27" s="136"/>
      <c r="P27" s="136"/>
      <c r="Q27" s="136"/>
    </row>
    <row r="28" spans="1:17" ht="30" customHeight="1">
      <c r="A28" s="6"/>
      <c r="B28" s="31" t="s">
        <v>44</v>
      </c>
      <c r="C28" s="144" t="s">
        <v>8</v>
      </c>
      <c r="D28" s="145"/>
      <c r="E28" s="32" t="s">
        <v>11</v>
      </c>
      <c r="F28" s="32" t="s">
        <v>14</v>
      </c>
      <c r="G28" s="32" t="s">
        <v>22</v>
      </c>
      <c r="H28" s="6"/>
      <c r="I28" s="150" t="str">
        <f>IF($K$22&lt;$I$8,"Increase HCO3- and/or decrease Ca+2/Mg+2","")</f>
        <v/>
      </c>
      <c r="J28" s="150"/>
      <c r="K28" s="150"/>
      <c r="L28" s="6"/>
      <c r="M28" s="136"/>
      <c r="N28" s="136"/>
      <c r="O28" s="136"/>
      <c r="P28" s="136"/>
      <c r="Q28" s="136"/>
    </row>
    <row r="29" spans="1:17" ht="29" customHeight="1">
      <c r="A29" s="6"/>
      <c r="B29" s="31" t="s">
        <v>50</v>
      </c>
      <c r="C29" s="146">
        <f>C60</f>
        <v>0</v>
      </c>
      <c r="D29" s="147"/>
      <c r="E29" s="42">
        <f>D60</f>
        <v>0</v>
      </c>
      <c r="F29" s="42">
        <f>E60</f>
        <v>0</v>
      </c>
      <c r="G29" s="42">
        <f>H60</f>
        <v>0</v>
      </c>
      <c r="H29" s="6"/>
      <c r="I29" s="151"/>
      <c r="J29" s="151"/>
      <c r="K29" s="151"/>
      <c r="L29" s="6"/>
      <c r="M29" s="136"/>
      <c r="N29" s="136"/>
      <c r="O29" s="136"/>
      <c r="P29" s="136"/>
      <c r="Q29" s="136"/>
    </row>
    <row r="30" spans="1:17" ht="30" customHeight="1">
      <c r="A30" s="6"/>
      <c r="B30" s="44" t="s">
        <v>51</v>
      </c>
      <c r="C30" s="82"/>
      <c r="D30" s="45">
        <f>C29-C30</f>
        <v>0</v>
      </c>
      <c r="E30" s="148" t="s">
        <v>52</v>
      </c>
      <c r="F30" s="148"/>
      <c r="G30" s="148"/>
      <c r="H30" s="46"/>
      <c r="I30" s="46"/>
      <c r="J30" s="43"/>
      <c r="K30" s="41"/>
      <c r="L30" s="6"/>
      <c r="M30" s="136"/>
      <c r="N30" s="136"/>
      <c r="O30" s="136"/>
      <c r="P30" s="136"/>
      <c r="Q30" s="136"/>
    </row>
    <row r="31" spans="1:17" ht="30" customHeight="1">
      <c r="A31" s="6"/>
      <c r="B31" s="31" t="s">
        <v>53</v>
      </c>
      <c r="C31" s="32" t="s">
        <v>13</v>
      </c>
      <c r="D31" s="32" t="s">
        <v>16</v>
      </c>
      <c r="E31" s="47" t="s">
        <v>19</v>
      </c>
      <c r="F31" s="47" t="s">
        <v>21</v>
      </c>
      <c r="G31" s="47" t="s">
        <v>24</v>
      </c>
      <c r="H31" s="6"/>
      <c r="I31" s="43"/>
      <c r="J31" s="43"/>
      <c r="K31" s="41"/>
      <c r="L31" s="6"/>
      <c r="M31" s="136"/>
      <c r="N31" s="136"/>
      <c r="O31" s="136"/>
      <c r="P31" s="136"/>
      <c r="Q31" s="136"/>
    </row>
    <row r="32" spans="1:17" ht="30" customHeight="1">
      <c r="A32" s="6"/>
      <c r="B32" s="48" t="s">
        <v>54</v>
      </c>
      <c r="C32" s="49">
        <f>($F$12/1000)*172*C30/40</f>
        <v>0</v>
      </c>
      <c r="D32" s="49">
        <f>($F$12/1000)*111*D30/40</f>
        <v>0</v>
      </c>
      <c r="E32" s="49">
        <f>($F$12/1000)*58.5*D60/23</f>
        <v>0</v>
      </c>
      <c r="F32" s="49">
        <f>($F$12/1000)*246*E60/24</f>
        <v>0</v>
      </c>
      <c r="G32" s="49">
        <f>($F$12/1000)*84*H60/61</f>
        <v>0</v>
      </c>
      <c r="H32" s="6"/>
      <c r="I32" s="6"/>
      <c r="J32" s="41"/>
      <c r="K32" s="41"/>
      <c r="L32" s="6"/>
      <c r="M32" s="136"/>
      <c r="N32" s="136"/>
      <c r="O32" s="136"/>
      <c r="P32" s="136"/>
      <c r="Q32" s="136"/>
    </row>
    <row r="33" spans="1:17" ht="30" customHeight="1">
      <c r="A33" s="6"/>
      <c r="B33" s="6"/>
      <c r="C33" s="6"/>
      <c r="D33" s="6"/>
      <c r="E33" s="25"/>
      <c r="F33" s="25"/>
      <c r="G33" s="7"/>
      <c r="H33" s="7"/>
      <c r="I33" s="7"/>
      <c r="J33" s="7"/>
      <c r="K33" s="7"/>
      <c r="L33" s="6"/>
      <c r="M33" s="136"/>
      <c r="N33" s="136"/>
      <c r="O33" s="136"/>
      <c r="P33" s="136"/>
      <c r="Q33" s="136"/>
    </row>
    <row r="34" spans="1:17" ht="30" customHeight="1">
      <c r="A34" s="6"/>
      <c r="B34" s="173" t="s">
        <v>55</v>
      </c>
      <c r="C34" s="174"/>
      <c r="D34" s="174"/>
      <c r="E34" s="174"/>
      <c r="F34" s="174"/>
      <c r="G34" s="174"/>
      <c r="H34" s="174"/>
      <c r="I34" s="174"/>
      <c r="J34" s="174"/>
      <c r="K34" s="175"/>
      <c r="L34" s="6"/>
      <c r="M34" s="136"/>
      <c r="N34" s="136"/>
      <c r="O34" s="136"/>
      <c r="P34" s="136"/>
      <c r="Q34" s="136"/>
    </row>
    <row r="35" spans="1:17" ht="30" customHeight="1">
      <c r="A35" s="6"/>
      <c r="B35" s="50" t="s">
        <v>44</v>
      </c>
      <c r="C35" s="32" t="s">
        <v>8</v>
      </c>
      <c r="D35" s="32" t="s">
        <v>11</v>
      </c>
      <c r="E35" s="32" t="s">
        <v>14</v>
      </c>
      <c r="F35" s="32" t="s">
        <v>17</v>
      </c>
      <c r="G35" s="32" t="s">
        <v>20</v>
      </c>
      <c r="H35" s="32" t="s">
        <v>22</v>
      </c>
      <c r="I35" s="32" t="s">
        <v>25</v>
      </c>
      <c r="J35" s="32" t="s">
        <v>28</v>
      </c>
      <c r="K35" s="10" t="s">
        <v>45</v>
      </c>
      <c r="L35" s="6"/>
      <c r="M35" s="136"/>
      <c r="N35" s="136"/>
      <c r="O35" s="136"/>
      <c r="P35" s="136"/>
      <c r="Q35" s="136"/>
    </row>
    <row r="36" spans="1:17" ht="30" customHeight="1">
      <c r="A36" s="6"/>
      <c r="B36" s="50" t="s">
        <v>56</v>
      </c>
      <c r="C36" s="51">
        <f>(C32*40)/(($F$12/1000)*172)+(D32*40)/(($F$12/1000)*111)+C59</f>
        <v>76</v>
      </c>
      <c r="D36" s="51">
        <f>(E32*23)/(($F$12/1000)*58.5)+(G32*23)/(($F$12/1000)*84)+D59</f>
        <v>8</v>
      </c>
      <c r="E36" s="51">
        <f>(F32*24)/(($F$12/1000)*246)+E59</f>
        <v>18</v>
      </c>
      <c r="F36" s="51">
        <f>(C32*96)/(($F$12/1000)*172)+(F32*96)/(($F$12/1000)*246)+F59</f>
        <v>59</v>
      </c>
      <c r="G36" s="51">
        <f>(D32*35.5)/(($F$12/1000)*111)+(E32*35.5)/(($F$12/1000)*58.5)+G59</f>
        <v>147</v>
      </c>
      <c r="H36" s="51">
        <f>(G32*61)/(($F$12/1000)*84)+H59</f>
        <v>360</v>
      </c>
      <c r="I36" s="34">
        <f>IFERROR(G36/F36,"NA")</f>
        <v>2.4915254237288136</v>
      </c>
      <c r="J36" s="52">
        <f>(H36*0.46/10)-((C36*1.4/10)/3.5)-((E36*2.3/10)/7)</f>
        <v>12.928571428571429</v>
      </c>
      <c r="K36" s="36">
        <f>$C$8+(J36/10*0.3)-($D$8/100*0)-($E$8/10*0.25)-($F$8/10*0.3)-($G$8/10*0.5)-($H$8*0.1)</f>
        <v>5.6378571428571425</v>
      </c>
      <c r="L36" s="6"/>
      <c r="M36" s="136"/>
      <c r="N36" s="136"/>
      <c r="O36" s="136"/>
      <c r="P36" s="136"/>
      <c r="Q36" s="136"/>
    </row>
    <row r="37" spans="1:17" ht="30" customHeight="1">
      <c r="A37" s="6"/>
      <c r="B37" s="50" t="s">
        <v>57</v>
      </c>
      <c r="C37" s="53">
        <f t="shared" ref="C37:K37" si="2">C22</f>
        <v>76</v>
      </c>
      <c r="D37" s="53">
        <f t="shared" si="2"/>
        <v>8</v>
      </c>
      <c r="E37" s="53">
        <f t="shared" si="2"/>
        <v>18</v>
      </c>
      <c r="F37" s="53">
        <f t="shared" si="2"/>
        <v>59</v>
      </c>
      <c r="G37" s="53">
        <f t="shared" si="2"/>
        <v>147</v>
      </c>
      <c r="H37" s="53">
        <f t="shared" si="2"/>
        <v>360</v>
      </c>
      <c r="I37" s="54">
        <f t="shared" si="2"/>
        <v>2.4915254237288136</v>
      </c>
      <c r="J37" s="55">
        <f t="shared" si="2"/>
        <v>12.928571428571429</v>
      </c>
      <c r="K37" s="56">
        <f t="shared" si="2"/>
        <v>5.5378571428571428</v>
      </c>
      <c r="L37" s="6"/>
      <c r="M37" s="136"/>
      <c r="N37" s="136"/>
      <c r="O37" s="136"/>
      <c r="P37" s="136"/>
      <c r="Q37" s="136"/>
    </row>
    <row r="38" spans="1:17" ht="10" customHeight="1">
      <c r="A38" s="6"/>
      <c r="B38" s="88"/>
      <c r="C38" s="104"/>
      <c r="D38" s="104"/>
      <c r="E38" s="104"/>
      <c r="F38" s="104"/>
      <c r="G38" s="104"/>
      <c r="H38" s="104"/>
      <c r="I38" s="105"/>
      <c r="J38" s="106"/>
      <c r="K38" s="107"/>
      <c r="L38" s="6"/>
      <c r="M38" s="124"/>
      <c r="N38" s="124"/>
      <c r="O38" s="124"/>
      <c r="P38" s="124"/>
      <c r="Q38" s="124"/>
    </row>
    <row r="39" spans="1:17" ht="30" customHeight="1">
      <c r="A39" s="6"/>
      <c r="B39" s="154" t="s">
        <v>92</v>
      </c>
      <c r="C39" s="154"/>
      <c r="D39" s="154"/>
      <c r="E39" s="154"/>
      <c r="F39" s="154"/>
      <c r="G39" s="154"/>
      <c r="H39" s="154"/>
      <c r="I39" s="154"/>
      <c r="J39" s="154"/>
      <c r="K39" s="154"/>
      <c r="L39" s="6"/>
      <c r="M39" s="124"/>
      <c r="N39" s="124"/>
      <c r="O39" s="124"/>
      <c r="P39" s="124"/>
      <c r="Q39" s="124"/>
    </row>
    <row r="40" spans="1:17" ht="30" customHeight="1" thickBot="1">
      <c r="A40" s="6"/>
      <c r="B40" s="11"/>
      <c r="C40" s="100"/>
      <c r="D40" s="100"/>
      <c r="E40" s="100"/>
      <c r="F40" s="100"/>
      <c r="G40" s="100"/>
      <c r="H40" s="100"/>
      <c r="I40" s="101"/>
      <c r="J40" s="102"/>
      <c r="K40" s="103"/>
      <c r="L40" s="6"/>
      <c r="M40" s="124"/>
      <c r="N40" s="124"/>
      <c r="O40" s="124"/>
      <c r="P40" s="124"/>
      <c r="Q40" s="124"/>
    </row>
    <row r="41" spans="1:17" ht="30" customHeight="1">
      <c r="A41" s="6"/>
      <c r="B41" s="155" t="s">
        <v>7</v>
      </c>
      <c r="C41" s="156"/>
      <c r="D41" s="176" t="s">
        <v>4</v>
      </c>
      <c r="E41" s="177"/>
      <c r="F41" s="178"/>
      <c r="G41" s="179" t="s">
        <v>5</v>
      </c>
      <c r="H41" s="180"/>
      <c r="I41" s="176" t="s">
        <v>6</v>
      </c>
      <c r="J41" s="177"/>
      <c r="K41" s="178"/>
      <c r="L41" s="6"/>
      <c r="M41" s="140" t="s">
        <v>32</v>
      </c>
      <c r="N41" s="140"/>
    </row>
    <row r="42" spans="1:17" ht="30" customHeight="1">
      <c r="A42" s="6"/>
      <c r="B42" s="157"/>
      <c r="C42" s="158"/>
      <c r="D42" s="111" t="s">
        <v>95</v>
      </c>
      <c r="E42" s="94">
        <f>D55</f>
        <v>400</v>
      </c>
      <c r="F42" s="112">
        <f>E42/117.3478</f>
        <v>3.4086706354955099</v>
      </c>
      <c r="G42" s="108" t="s">
        <v>8</v>
      </c>
      <c r="H42" s="118">
        <f>C36</f>
        <v>76</v>
      </c>
      <c r="I42" s="152" t="s">
        <v>9</v>
      </c>
      <c r="J42" s="153"/>
      <c r="K42" s="97">
        <f>($C$8+($J$36*0.03)-($E$8*0.025)-($F$8*0.03)-($G$8*0.05)-($H$8*0.1)-($I$8))/0.1</f>
        <v>1.3785714285714246</v>
      </c>
      <c r="L42" s="6"/>
      <c r="M42" s="140"/>
      <c r="N42" s="140"/>
    </row>
    <row r="43" spans="1:17" ht="30" customHeight="1">
      <c r="A43" s="6"/>
      <c r="B43" s="157"/>
      <c r="C43" s="158"/>
      <c r="D43" s="113" t="s">
        <v>10</v>
      </c>
      <c r="E43" s="95">
        <f>D56</f>
        <v>0</v>
      </c>
      <c r="F43" s="114">
        <f>E43/117.3478</f>
        <v>0</v>
      </c>
      <c r="G43" s="109" t="s">
        <v>11</v>
      </c>
      <c r="H43" s="119">
        <f>D36</f>
        <v>8</v>
      </c>
      <c r="I43" s="152" t="s">
        <v>12</v>
      </c>
      <c r="J43" s="153"/>
      <c r="K43" s="98">
        <f>($C$8+($J$36*0.03)-($E$8*0.025)-($F$8*0.03)-($G$8*0.05)-($H$8*0.1)-($I$8))/0.1*0.659</f>
        <v>0.9084785714285688</v>
      </c>
      <c r="L43" s="6"/>
      <c r="M43" s="140"/>
      <c r="N43" s="140"/>
    </row>
    <row r="44" spans="1:17" ht="30" customHeight="1" thickBot="1">
      <c r="A44" s="6"/>
      <c r="B44" s="157"/>
      <c r="C44" s="158"/>
      <c r="D44" s="113" t="s">
        <v>88</v>
      </c>
      <c r="E44" s="96">
        <f>C32</f>
        <v>0</v>
      </c>
      <c r="F44" s="115">
        <f>E44*0.035274</f>
        <v>0</v>
      </c>
      <c r="G44" s="109" t="s">
        <v>14</v>
      </c>
      <c r="H44" s="119">
        <f>E36</f>
        <v>18</v>
      </c>
      <c r="I44" s="163" t="s">
        <v>15</v>
      </c>
      <c r="J44" s="164"/>
      <c r="K44" s="120">
        <f>($C$8+($J$36*0.03)-($E$8*0.025)-($F$8*0.03)-($G$8*0.05)-($H$8*0.1)-($I$8))/0.1*0.748</f>
        <v>1.0311714285714255</v>
      </c>
      <c r="L44" s="6"/>
      <c r="M44" s="140"/>
      <c r="N44" s="140"/>
      <c r="Q44" s="123"/>
    </row>
    <row r="45" spans="1:17" ht="30" customHeight="1">
      <c r="A45" s="6"/>
      <c r="B45" s="157"/>
      <c r="C45" s="158"/>
      <c r="D45" s="113" t="s">
        <v>89</v>
      </c>
      <c r="E45" s="96">
        <f>D32</f>
        <v>0</v>
      </c>
      <c r="F45" s="115">
        <f>E45*0.035274</f>
        <v>0</v>
      </c>
      <c r="G45" s="109" t="s">
        <v>17</v>
      </c>
      <c r="H45" s="119">
        <f>F36</f>
        <v>59</v>
      </c>
      <c r="I45" s="165" t="s">
        <v>18</v>
      </c>
      <c r="J45" s="166"/>
      <c r="K45" s="167"/>
      <c r="L45" s="6"/>
      <c r="M45" s="140"/>
      <c r="N45" s="140"/>
    </row>
    <row r="46" spans="1:17" ht="30" customHeight="1">
      <c r="A46" s="6"/>
      <c r="B46" s="157"/>
      <c r="C46" s="158"/>
      <c r="D46" s="113" t="s">
        <v>19</v>
      </c>
      <c r="E46" s="96">
        <f>E32</f>
        <v>0</v>
      </c>
      <c r="F46" s="115">
        <f>E46*0.035274</f>
        <v>0</v>
      </c>
      <c r="G46" s="109" t="s">
        <v>20</v>
      </c>
      <c r="H46" s="119">
        <f>G36</f>
        <v>147</v>
      </c>
      <c r="I46" s="168"/>
      <c r="J46" s="169"/>
      <c r="K46" s="170"/>
      <c r="L46" s="6"/>
      <c r="M46" s="140"/>
      <c r="N46" s="140"/>
    </row>
    <row r="47" spans="1:17" ht="30" customHeight="1">
      <c r="A47" s="6"/>
      <c r="B47" s="157"/>
      <c r="C47" s="158"/>
      <c r="D47" s="113" t="s">
        <v>90</v>
      </c>
      <c r="E47" s="96">
        <f>F32</f>
        <v>0</v>
      </c>
      <c r="F47" s="115">
        <f>E47*0.035274</f>
        <v>0</v>
      </c>
      <c r="G47" s="109" t="s">
        <v>22</v>
      </c>
      <c r="H47" s="119">
        <f>H36</f>
        <v>360</v>
      </c>
      <c r="I47" s="171" t="s">
        <v>23</v>
      </c>
      <c r="J47" s="172"/>
      <c r="K47" s="125">
        <f>$C$8+(J36/10*0.3)-($E$8/10*0.25)-($F$8/10*0.3)-($G$8/10*0.5)-($H$8*0.1)-($K$42*0.1)</f>
        <v>5.5</v>
      </c>
      <c r="L47" s="6"/>
      <c r="M47" s="140"/>
      <c r="N47" s="140"/>
    </row>
    <row r="48" spans="1:17" ht="30" customHeight="1">
      <c r="A48" s="6"/>
      <c r="B48" s="157"/>
      <c r="C48" s="158"/>
      <c r="D48" s="113" t="s">
        <v>91</v>
      </c>
      <c r="E48" s="96">
        <f>G32</f>
        <v>0</v>
      </c>
      <c r="F48" s="115">
        <f>E48*0.035274</f>
        <v>0</v>
      </c>
      <c r="G48" s="109" t="s">
        <v>25</v>
      </c>
      <c r="H48" s="121">
        <f>I36</f>
        <v>2.4915254237288136</v>
      </c>
      <c r="I48" s="171" t="s">
        <v>26</v>
      </c>
      <c r="J48" s="172"/>
      <c r="K48" s="125">
        <f>$C$8+(J36/10*0.3)-($E$8/10*0.25)-($F$8/10*0.3)-($G$8/10*0.5)-($H$8*0.1)-($K$43/0.659*0.1)</f>
        <v>5.5</v>
      </c>
      <c r="L48" s="6"/>
      <c r="M48" s="1"/>
    </row>
    <row r="49" spans="1:13" ht="30" customHeight="1" thickBot="1">
      <c r="A49" s="9"/>
      <c r="B49" s="159"/>
      <c r="C49" s="160"/>
      <c r="D49" s="116" t="s">
        <v>27</v>
      </c>
      <c r="E49" s="99">
        <f>E42+E43</f>
        <v>400</v>
      </c>
      <c r="F49" s="117">
        <f>F42+F43</f>
        <v>3.4086706354955099</v>
      </c>
      <c r="G49" s="110" t="s">
        <v>28</v>
      </c>
      <c r="H49" s="122">
        <f>J36</f>
        <v>12.928571428571429</v>
      </c>
      <c r="I49" s="161" t="s">
        <v>29</v>
      </c>
      <c r="J49" s="162"/>
      <c r="K49" s="126">
        <f>$C$8+(J36/10*0.3)-($E$8/10*0.25)-($F$8/10*0.3)-($G$8/10*0.5)-($H$8*0.1)-($K$44/0.748*0.1)</f>
        <v>5.5</v>
      </c>
      <c r="L49" s="9"/>
      <c r="M49" s="1"/>
    </row>
    <row r="50" spans="1:13" ht="30" customHeight="1">
      <c r="A50" s="9"/>
      <c r="B50" s="182"/>
      <c r="C50" s="182"/>
      <c r="D50" s="182"/>
      <c r="E50" s="182"/>
      <c r="F50" s="182"/>
      <c r="G50" s="182"/>
      <c r="H50" s="182"/>
      <c r="I50" s="182"/>
      <c r="J50" s="182"/>
      <c r="K50" s="182"/>
      <c r="L50" s="9"/>
      <c r="M50" s="1"/>
    </row>
    <row r="51" spans="1:13" ht="30" customHeight="1">
      <c r="A51" s="9"/>
      <c r="B51" s="183" t="s">
        <v>58</v>
      </c>
      <c r="C51" s="183"/>
      <c r="D51" s="183"/>
      <c r="E51" s="183"/>
      <c r="F51" s="183"/>
      <c r="G51" s="183"/>
      <c r="H51" s="183"/>
      <c r="I51" s="183"/>
      <c r="J51" s="183"/>
      <c r="K51" s="183"/>
      <c r="L51" s="9"/>
      <c r="M51" s="1"/>
    </row>
    <row r="52" spans="1:13" ht="30" customHeight="1">
      <c r="A52" s="9"/>
      <c r="B52" s="57"/>
      <c r="C52" s="6"/>
      <c r="D52" s="6"/>
      <c r="E52" s="6"/>
      <c r="F52" s="6"/>
      <c r="G52" s="6"/>
      <c r="H52" s="6"/>
      <c r="I52" s="6"/>
      <c r="J52" s="6"/>
      <c r="K52" s="59"/>
      <c r="L52" s="9"/>
      <c r="M52" s="1"/>
    </row>
    <row r="53" spans="1:13" ht="30" customHeight="1">
      <c r="A53" s="9"/>
      <c r="B53" s="184" t="s">
        <v>59</v>
      </c>
      <c r="C53" s="184"/>
      <c r="D53" s="184"/>
      <c r="E53" s="25"/>
      <c r="F53" s="25"/>
      <c r="G53" s="6"/>
      <c r="H53" s="6"/>
      <c r="I53" s="6"/>
      <c r="J53" s="6"/>
      <c r="K53" s="59"/>
      <c r="L53" s="9"/>
      <c r="M53" s="1"/>
    </row>
    <row r="54" spans="1:13" ht="30" customHeight="1">
      <c r="A54" s="9"/>
      <c r="B54" s="60" t="s">
        <v>60</v>
      </c>
      <c r="C54" s="185" t="str">
        <f>IF(I23&lt;0,"Yes","No")</f>
        <v>No</v>
      </c>
      <c r="D54" s="186"/>
      <c r="E54" s="85"/>
      <c r="F54" s="85"/>
      <c r="G54" s="6"/>
      <c r="H54" s="6"/>
      <c r="I54" s="6"/>
      <c r="J54" s="6"/>
      <c r="K54" s="59"/>
      <c r="L54" s="9"/>
      <c r="M54" s="1"/>
    </row>
    <row r="55" spans="1:13" ht="30" customHeight="1">
      <c r="A55" s="9"/>
      <c r="B55" s="61" t="s">
        <v>61</v>
      </c>
      <c r="C55" s="62">
        <f>IF(C54="Yes",(1+$I$23)*E12,E12)</f>
        <v>4</v>
      </c>
      <c r="D55" s="62">
        <f>IF(C54="Yes",(1+$I$23)*F12,F12)</f>
        <v>400</v>
      </c>
      <c r="E55" s="63"/>
      <c r="F55" s="64"/>
      <c r="G55" s="6"/>
      <c r="H55" s="6"/>
      <c r="I55" s="6"/>
      <c r="J55" s="6"/>
      <c r="K55" s="59"/>
      <c r="L55" s="9"/>
      <c r="M55" s="1"/>
    </row>
    <row r="56" spans="1:13" ht="30" customHeight="1">
      <c r="A56" s="9"/>
      <c r="B56" s="65" t="s">
        <v>62</v>
      </c>
      <c r="C56" s="66">
        <f>E12-C55</f>
        <v>0</v>
      </c>
      <c r="D56" s="67">
        <f>F12-D55</f>
        <v>0</v>
      </c>
      <c r="E56" s="63"/>
      <c r="F56" s="64"/>
      <c r="G56" s="6"/>
      <c r="H56" s="6"/>
      <c r="I56" s="6"/>
      <c r="J56" s="6"/>
      <c r="K56" s="59"/>
      <c r="L56" s="9"/>
      <c r="M56" s="1"/>
    </row>
    <row r="57" spans="1:13" ht="30" customHeight="1">
      <c r="A57" s="9"/>
      <c r="B57" s="86" t="s">
        <v>63</v>
      </c>
      <c r="C57" s="86"/>
      <c r="D57" s="86"/>
      <c r="E57" s="86"/>
      <c r="F57" s="86"/>
      <c r="G57" s="86"/>
      <c r="H57" s="86"/>
      <c r="I57" s="68"/>
      <c r="J57" s="68"/>
      <c r="K57" s="59"/>
      <c r="L57" s="9"/>
      <c r="M57" s="1"/>
    </row>
    <row r="58" spans="1:13" ht="30" customHeight="1">
      <c r="A58" s="9"/>
      <c r="B58" s="50" t="s">
        <v>44</v>
      </c>
      <c r="C58" s="50" t="s">
        <v>8</v>
      </c>
      <c r="D58" s="50" t="s">
        <v>11</v>
      </c>
      <c r="E58" s="50" t="s">
        <v>14</v>
      </c>
      <c r="F58" s="50" t="s">
        <v>17</v>
      </c>
      <c r="G58" s="50" t="s">
        <v>20</v>
      </c>
      <c r="H58" s="50" t="s">
        <v>22</v>
      </c>
      <c r="I58" s="68"/>
      <c r="J58" s="68"/>
      <c r="K58" s="59"/>
      <c r="L58" s="9"/>
      <c r="M58" s="1"/>
    </row>
    <row r="59" spans="1:13" ht="30" customHeight="1">
      <c r="A59" s="9"/>
      <c r="B59" s="50" t="s">
        <v>64</v>
      </c>
      <c r="C59" s="69">
        <f t="shared" ref="C59:H59" si="3">($C$55*C18)/($C$55+$C$56)</f>
        <v>76</v>
      </c>
      <c r="D59" s="69">
        <f t="shared" si="3"/>
        <v>8</v>
      </c>
      <c r="E59" s="69">
        <f t="shared" si="3"/>
        <v>18</v>
      </c>
      <c r="F59" s="69">
        <f t="shared" si="3"/>
        <v>59</v>
      </c>
      <c r="G59" s="69">
        <f t="shared" si="3"/>
        <v>147</v>
      </c>
      <c r="H59" s="69">
        <f t="shared" si="3"/>
        <v>360</v>
      </c>
      <c r="I59" s="6"/>
      <c r="J59" s="6"/>
      <c r="K59" s="58"/>
      <c r="L59" s="9"/>
      <c r="M59" s="1"/>
    </row>
    <row r="60" spans="1:13" ht="30" customHeight="1">
      <c r="A60" s="9"/>
      <c r="B60" s="50" t="s">
        <v>65</v>
      </c>
      <c r="C60" s="69">
        <f t="shared" ref="C60:H60" si="4">C22-C59</f>
        <v>0</v>
      </c>
      <c r="D60" s="69">
        <f t="shared" si="4"/>
        <v>0</v>
      </c>
      <c r="E60" s="69">
        <f t="shared" si="4"/>
        <v>0</v>
      </c>
      <c r="F60" s="69">
        <f t="shared" si="4"/>
        <v>0</v>
      </c>
      <c r="G60" s="69">
        <f t="shared" si="4"/>
        <v>0</v>
      </c>
      <c r="H60" s="69">
        <f t="shared" si="4"/>
        <v>0</v>
      </c>
      <c r="I60" s="6"/>
      <c r="J60" s="6"/>
      <c r="K60" s="58"/>
      <c r="L60" s="9"/>
      <c r="M60" s="1"/>
    </row>
    <row r="61" spans="1:13" ht="30" customHeight="1">
      <c r="A61" s="9"/>
      <c r="B61" s="70"/>
      <c r="C61" s="71"/>
      <c r="D61" s="9"/>
      <c r="E61" s="9"/>
      <c r="F61" s="9"/>
      <c r="G61" s="9"/>
      <c r="H61" s="9"/>
      <c r="I61" s="9"/>
      <c r="J61" s="9"/>
      <c r="K61" s="72"/>
      <c r="L61" s="9"/>
      <c r="M61" s="1"/>
    </row>
    <row r="62" spans="1:13" ht="30" customHeight="1">
      <c r="A62" s="9"/>
      <c r="B62" s="187" t="s">
        <v>66</v>
      </c>
      <c r="C62" s="187"/>
      <c r="D62" s="187"/>
      <c r="E62" s="187"/>
      <c r="F62" s="187"/>
      <c r="G62" s="187"/>
      <c r="H62" s="73"/>
      <c r="I62" s="73"/>
      <c r="J62" s="9"/>
      <c r="K62" s="72"/>
      <c r="L62" s="9"/>
      <c r="M62" s="1"/>
    </row>
    <row r="63" spans="1:13" ht="30" customHeight="1">
      <c r="A63" s="9"/>
      <c r="B63" s="87" t="s">
        <v>44</v>
      </c>
      <c r="C63" s="87" t="s">
        <v>2</v>
      </c>
      <c r="D63" s="188" t="s">
        <v>67</v>
      </c>
      <c r="E63" s="188"/>
      <c r="F63" s="188" t="s">
        <v>68</v>
      </c>
      <c r="G63" s="188"/>
      <c r="H63" s="74"/>
      <c r="I63" s="74"/>
      <c r="J63" s="9"/>
      <c r="K63" s="72"/>
      <c r="L63" s="9"/>
      <c r="M63" s="1"/>
    </row>
    <row r="64" spans="1:13" ht="30" customHeight="1">
      <c r="A64" s="9"/>
      <c r="B64" s="84" t="s">
        <v>69</v>
      </c>
      <c r="C64" s="75">
        <v>1</v>
      </c>
      <c r="D64" s="189" t="s">
        <v>70</v>
      </c>
      <c r="E64" s="189"/>
      <c r="F64" s="189" t="s">
        <v>71</v>
      </c>
      <c r="G64" s="189"/>
      <c r="H64" s="74"/>
      <c r="I64" s="74"/>
      <c r="J64" s="9"/>
      <c r="K64" s="72"/>
      <c r="L64" s="9"/>
      <c r="M64" s="1"/>
    </row>
    <row r="65" spans="1:13" ht="30" customHeight="1">
      <c r="A65" s="6"/>
      <c r="B65" s="189"/>
      <c r="C65" s="189"/>
      <c r="D65" s="189"/>
      <c r="E65" s="189"/>
      <c r="F65" s="189"/>
      <c r="G65" s="189"/>
      <c r="H65" s="76"/>
      <c r="I65" s="76"/>
      <c r="J65" s="9"/>
      <c r="K65" s="72"/>
      <c r="L65" s="6"/>
      <c r="M65" s="1"/>
    </row>
    <row r="66" spans="1:13" ht="30" customHeight="1">
      <c r="A66" s="6"/>
      <c r="B66" s="83" t="s">
        <v>72</v>
      </c>
      <c r="C66" s="83">
        <v>1</v>
      </c>
      <c r="D66" s="181">
        <v>2.5</v>
      </c>
      <c r="E66" s="181"/>
      <c r="F66" s="181">
        <v>1.4</v>
      </c>
      <c r="G66" s="181"/>
      <c r="H66" s="74"/>
      <c r="I66" s="74"/>
      <c r="J66" s="9"/>
      <c r="K66" s="72"/>
      <c r="L66" s="6"/>
      <c r="M66" s="1"/>
    </row>
    <row r="67" spans="1:13" ht="30" customHeight="1">
      <c r="A67" s="6"/>
      <c r="B67" s="83" t="s">
        <v>73</v>
      </c>
      <c r="C67" s="83">
        <v>1</v>
      </c>
      <c r="D67" s="181">
        <v>4.12</v>
      </c>
      <c r="E67" s="181"/>
      <c r="F67" s="181">
        <v>2.2999999999999998</v>
      </c>
      <c r="G67" s="181"/>
      <c r="H67" s="74"/>
      <c r="I67" s="74"/>
      <c r="J67" s="9"/>
      <c r="K67" s="72"/>
      <c r="L67" s="6"/>
      <c r="M67" s="1"/>
    </row>
    <row r="68" spans="1:13" ht="30" customHeight="1">
      <c r="A68" s="6"/>
      <c r="B68" s="83" t="s">
        <v>74</v>
      </c>
      <c r="C68" s="83">
        <v>1</v>
      </c>
      <c r="D68" s="181">
        <v>0.82</v>
      </c>
      <c r="E68" s="181"/>
      <c r="F68" s="181">
        <v>0.46</v>
      </c>
      <c r="G68" s="181"/>
      <c r="H68" s="74"/>
      <c r="I68" s="74"/>
      <c r="J68" s="9"/>
      <c r="K68" s="72"/>
      <c r="L68" s="6"/>
      <c r="M68" s="1"/>
    </row>
    <row r="69" spans="1:13" ht="30" customHeight="1">
      <c r="A69" s="6"/>
      <c r="B69" s="83" t="s">
        <v>75</v>
      </c>
      <c r="C69" s="83">
        <v>1</v>
      </c>
      <c r="D69" s="181">
        <v>1</v>
      </c>
      <c r="E69" s="181"/>
      <c r="F69" s="181">
        <v>0.56000000000000005</v>
      </c>
      <c r="G69" s="181"/>
      <c r="H69" s="74"/>
      <c r="I69" s="74"/>
      <c r="J69" s="9"/>
      <c r="K69" s="72"/>
      <c r="L69" s="6"/>
      <c r="M69" s="1"/>
    </row>
    <row r="70" spans="1:13" ht="30" customHeight="1">
      <c r="A70" s="1"/>
      <c r="B70" s="83" t="s">
        <v>76</v>
      </c>
      <c r="C70" s="83">
        <v>1</v>
      </c>
      <c r="D70" s="181">
        <v>1.79</v>
      </c>
      <c r="E70" s="181"/>
      <c r="F70" s="181">
        <v>1</v>
      </c>
      <c r="G70" s="181"/>
      <c r="H70" s="74"/>
      <c r="I70" s="74"/>
      <c r="J70" s="9"/>
      <c r="K70" s="72"/>
      <c r="L70" s="1"/>
      <c r="M70" s="1"/>
    </row>
    <row r="71" spans="1:13" ht="30" customHeight="1">
      <c r="A71" s="1"/>
      <c r="B71" s="192"/>
      <c r="C71" s="192"/>
      <c r="D71" s="192"/>
      <c r="E71" s="192"/>
      <c r="F71" s="192"/>
      <c r="G71" s="192"/>
      <c r="H71" s="74"/>
      <c r="I71" s="74"/>
      <c r="J71" s="9"/>
      <c r="K71" s="72"/>
      <c r="L71" s="1"/>
      <c r="M71" s="1"/>
    </row>
    <row r="72" spans="1:13" ht="30" customHeight="1">
      <c r="A72" s="1"/>
      <c r="B72" s="190" t="s">
        <v>77</v>
      </c>
      <c r="C72" s="190"/>
      <c r="D72" s="191" t="s">
        <v>78</v>
      </c>
      <c r="E72" s="191"/>
      <c r="F72" s="191"/>
      <c r="G72" s="191"/>
      <c r="H72" s="74"/>
      <c r="I72" s="74"/>
      <c r="J72" s="9"/>
      <c r="K72" s="72"/>
      <c r="L72" s="1"/>
      <c r="M72" s="1"/>
    </row>
    <row r="73" spans="1:13" ht="30" customHeight="1">
      <c r="A73" s="1"/>
      <c r="B73" s="190" t="s">
        <v>79</v>
      </c>
      <c r="C73" s="190"/>
      <c r="D73" s="191" t="s">
        <v>80</v>
      </c>
      <c r="E73" s="191"/>
      <c r="F73" s="191"/>
      <c r="G73" s="191"/>
      <c r="H73" s="74"/>
      <c r="I73" s="74"/>
      <c r="J73" s="9"/>
      <c r="K73" s="72"/>
      <c r="L73" s="1"/>
      <c r="M73" s="1"/>
    </row>
    <row r="74" spans="1:13" ht="30" customHeight="1">
      <c r="A74" s="1"/>
      <c r="B74" s="190" t="s">
        <v>81</v>
      </c>
      <c r="C74" s="190"/>
      <c r="D74" s="191" t="s">
        <v>82</v>
      </c>
      <c r="E74" s="191"/>
      <c r="F74" s="191"/>
      <c r="G74" s="191"/>
      <c r="H74" s="74"/>
      <c r="I74" s="74"/>
      <c r="J74" s="9"/>
      <c r="K74" s="72"/>
      <c r="L74" s="1"/>
      <c r="M74" s="1"/>
    </row>
    <row r="75" spans="1:13" ht="30" customHeight="1">
      <c r="A75" s="1"/>
      <c r="B75" s="190" t="s">
        <v>83</v>
      </c>
      <c r="C75" s="190"/>
      <c r="D75" s="191" t="s">
        <v>84</v>
      </c>
      <c r="E75" s="191"/>
      <c r="F75" s="191"/>
      <c r="G75" s="191"/>
      <c r="H75" s="74"/>
      <c r="I75" s="74"/>
      <c r="J75" s="9"/>
      <c r="K75" s="72"/>
      <c r="L75" s="1"/>
      <c r="M75" s="1"/>
    </row>
    <row r="76" spans="1:13" ht="30" customHeight="1">
      <c r="A76" s="1"/>
      <c r="B76" s="77"/>
      <c r="C76" s="78"/>
      <c r="D76" s="79"/>
      <c r="E76" s="79"/>
      <c r="F76" s="79"/>
      <c r="G76" s="79"/>
      <c r="H76" s="79"/>
      <c r="I76" s="79"/>
      <c r="J76" s="79"/>
      <c r="K76" s="80"/>
      <c r="L76" s="1"/>
      <c r="M76" s="1"/>
    </row>
    <row r="77" spans="1:13" ht="30" customHeight="1">
      <c r="A77" s="1"/>
      <c r="B77" s="71"/>
      <c r="C77" s="71"/>
      <c r="D77" s="9"/>
      <c r="E77" s="9"/>
      <c r="F77" s="9"/>
      <c r="G77" s="9"/>
      <c r="H77" s="9"/>
      <c r="I77" s="9"/>
      <c r="J77" s="9"/>
      <c r="K77" s="9"/>
      <c r="L77" s="1"/>
      <c r="M77" s="1"/>
    </row>
    <row r="78" spans="1:13" ht="30" customHeight="1">
      <c r="A78" s="1"/>
      <c r="B78" s="85"/>
      <c r="C78" s="85"/>
      <c r="D78" s="6"/>
      <c r="E78" s="6"/>
      <c r="F78" s="6"/>
      <c r="G78" s="6"/>
      <c r="H78" s="6"/>
      <c r="I78" s="6"/>
      <c r="J78" s="6"/>
      <c r="K78" s="6"/>
      <c r="L78" s="1"/>
      <c r="M78" s="1"/>
    </row>
    <row r="79" spans="1:13" ht="30" customHeight="1">
      <c r="A79" s="1"/>
      <c r="B79" s="1"/>
      <c r="C79" s="1"/>
      <c r="D79" s="1"/>
      <c r="E79" s="1"/>
      <c r="F79" s="1"/>
      <c r="G79" s="1"/>
      <c r="H79" s="1"/>
      <c r="I79" s="1"/>
      <c r="J79" s="1"/>
      <c r="K79" s="1"/>
      <c r="L79" s="1"/>
      <c r="M79" s="1"/>
    </row>
    <row r="80" spans="1:13" ht="30" customHeight="1">
      <c r="A80" s="1"/>
      <c r="B80" s="1"/>
      <c r="C80" s="1"/>
      <c r="D80" s="1"/>
      <c r="E80" s="1"/>
      <c r="F80" s="1"/>
      <c r="G80" s="1"/>
      <c r="H80" s="1"/>
      <c r="I80" s="1"/>
      <c r="J80" s="1"/>
      <c r="K80" s="1"/>
      <c r="L80" s="1"/>
      <c r="M80" s="1"/>
    </row>
    <row r="81" spans="1:13" ht="30" customHeight="1">
      <c r="A81" s="1"/>
      <c r="B81" s="1"/>
      <c r="C81" s="1"/>
      <c r="D81" s="1"/>
      <c r="E81" s="1"/>
      <c r="F81" s="1"/>
      <c r="G81" s="1"/>
      <c r="H81" s="1"/>
      <c r="I81" s="1"/>
      <c r="J81" s="1"/>
      <c r="K81" s="1"/>
      <c r="L81" s="1"/>
      <c r="M81" s="1"/>
    </row>
    <row r="82" spans="1:13" ht="30" customHeight="1">
      <c r="A82" s="1"/>
      <c r="B82" s="1"/>
      <c r="C82" s="1"/>
      <c r="D82" s="1"/>
      <c r="E82" s="1"/>
      <c r="F82" s="1"/>
      <c r="G82" s="1"/>
      <c r="H82" s="1"/>
      <c r="I82" s="1"/>
      <c r="J82" s="1"/>
      <c r="K82" s="1"/>
      <c r="L82" s="1"/>
      <c r="M82" s="1"/>
    </row>
    <row r="83" spans="1:13" ht="30" customHeight="1">
      <c r="A83" s="1"/>
      <c r="B83" s="1"/>
      <c r="C83" s="1"/>
      <c r="D83" s="1"/>
      <c r="E83" s="1"/>
      <c r="F83" s="1"/>
      <c r="G83" s="1"/>
      <c r="H83" s="1"/>
      <c r="I83" s="1"/>
      <c r="J83" s="1"/>
      <c r="K83" s="1"/>
      <c r="L83" s="1"/>
      <c r="M83" s="1"/>
    </row>
    <row r="84" spans="1:13" ht="30" customHeight="1">
      <c r="A84" s="1"/>
      <c r="B84" s="1"/>
      <c r="C84" s="1"/>
      <c r="D84" s="1"/>
      <c r="E84" s="1"/>
      <c r="F84" s="1"/>
      <c r="G84" s="1"/>
      <c r="H84" s="1"/>
      <c r="I84" s="1"/>
      <c r="J84" s="1"/>
      <c r="K84" s="1"/>
      <c r="L84" s="1"/>
      <c r="M84" s="1"/>
    </row>
    <row r="85" spans="1:13" ht="30" customHeight="1">
      <c r="A85" s="1"/>
      <c r="B85" s="1"/>
      <c r="C85" s="1"/>
      <c r="D85" s="1"/>
      <c r="E85" s="1"/>
      <c r="F85" s="1"/>
      <c r="G85" s="1"/>
      <c r="H85" s="1"/>
      <c r="I85" s="1"/>
      <c r="J85" s="1"/>
      <c r="K85" s="1"/>
      <c r="L85" s="1"/>
      <c r="M85" s="1"/>
    </row>
    <row r="86" spans="1:13" ht="30" customHeight="1">
      <c r="A86" s="1"/>
      <c r="B86" s="1"/>
      <c r="C86" s="1"/>
      <c r="D86" s="1"/>
      <c r="E86" s="1"/>
      <c r="F86" s="1"/>
      <c r="G86" s="1"/>
      <c r="H86" s="1"/>
      <c r="I86" s="1"/>
      <c r="J86" s="1"/>
      <c r="K86" s="1"/>
      <c r="L86" s="1"/>
      <c r="M86" s="1"/>
    </row>
    <row r="87" spans="1:13" ht="30" customHeight="1">
      <c r="A87" s="1"/>
      <c r="B87" s="1"/>
      <c r="C87" s="1"/>
      <c r="D87" s="1"/>
      <c r="E87" s="1"/>
      <c r="F87" s="1"/>
      <c r="G87" s="1"/>
      <c r="H87" s="1"/>
      <c r="I87" s="1"/>
      <c r="J87" s="1"/>
      <c r="K87" s="1"/>
      <c r="L87" s="1"/>
      <c r="M87" s="1"/>
    </row>
    <row r="88" spans="1:13" ht="30" customHeight="1">
      <c r="A88" s="1"/>
      <c r="B88" s="1"/>
      <c r="C88" s="1"/>
      <c r="D88" s="1"/>
      <c r="E88" s="1"/>
      <c r="F88" s="1"/>
      <c r="G88" s="1"/>
      <c r="H88" s="1"/>
      <c r="I88" s="1"/>
      <c r="J88" s="1"/>
      <c r="K88" s="1"/>
      <c r="L88" s="1"/>
      <c r="M88" s="1"/>
    </row>
    <row r="89" spans="1:13" ht="30" customHeight="1">
      <c r="A89" s="1"/>
      <c r="B89" s="1"/>
      <c r="C89" s="1"/>
      <c r="D89" s="1"/>
      <c r="E89" s="1"/>
      <c r="F89" s="1"/>
      <c r="G89" s="1"/>
      <c r="H89" s="1"/>
      <c r="I89" s="1"/>
      <c r="J89" s="1"/>
      <c r="K89" s="1"/>
      <c r="L89" s="1"/>
      <c r="M89" s="1"/>
    </row>
    <row r="90" spans="1:13" ht="30" customHeight="1">
      <c r="A90" s="1"/>
      <c r="B90" s="1"/>
      <c r="C90" s="1"/>
      <c r="D90" s="1"/>
      <c r="E90" s="1"/>
      <c r="F90" s="1"/>
      <c r="G90" s="1"/>
      <c r="H90" s="1"/>
      <c r="I90" s="1"/>
      <c r="J90" s="1"/>
      <c r="K90" s="1"/>
      <c r="L90" s="1"/>
      <c r="M90" s="1"/>
    </row>
    <row r="91" spans="1:13" ht="30" customHeight="1">
      <c r="A91" s="1"/>
      <c r="B91" s="1"/>
      <c r="C91" s="1"/>
      <c r="D91" s="1"/>
      <c r="E91" s="1"/>
      <c r="F91" s="1"/>
      <c r="G91" s="1"/>
      <c r="H91" s="1"/>
      <c r="I91" s="1"/>
      <c r="J91" s="1"/>
      <c r="K91" s="1"/>
      <c r="L91" s="1"/>
      <c r="M91" s="1"/>
    </row>
    <row r="92" spans="1:13" ht="30" customHeight="1">
      <c r="A92" s="1"/>
      <c r="B92" s="1"/>
      <c r="C92" s="1"/>
      <c r="D92" s="1"/>
      <c r="E92" s="1"/>
      <c r="F92" s="1"/>
      <c r="G92" s="1"/>
      <c r="H92" s="1"/>
      <c r="I92" s="1"/>
      <c r="J92" s="1"/>
      <c r="K92" s="1"/>
      <c r="L92" s="1"/>
      <c r="M92" s="1"/>
    </row>
    <row r="93" spans="1:13" ht="30" customHeight="1">
      <c r="A93" s="1"/>
      <c r="B93" s="1"/>
      <c r="C93" s="1"/>
      <c r="D93" s="1"/>
      <c r="E93" s="1"/>
      <c r="F93" s="1"/>
      <c r="G93" s="1"/>
      <c r="H93" s="1"/>
      <c r="I93" s="1"/>
      <c r="J93" s="1"/>
      <c r="K93" s="1"/>
      <c r="L93" s="1"/>
      <c r="M93" s="1"/>
    </row>
    <row r="94" spans="1:13" ht="30" customHeight="1">
      <c r="A94" s="1"/>
      <c r="B94" s="1"/>
      <c r="C94" s="1"/>
      <c r="D94" s="1"/>
      <c r="E94" s="1"/>
      <c r="F94" s="1"/>
      <c r="G94" s="1"/>
      <c r="H94" s="1"/>
      <c r="I94" s="1"/>
      <c r="J94" s="1"/>
      <c r="K94" s="1"/>
      <c r="L94" s="1"/>
      <c r="M94" s="1"/>
    </row>
    <row r="95" spans="1:13" ht="30" customHeight="1">
      <c r="A95" s="1"/>
      <c r="B95" s="1"/>
      <c r="C95" s="1"/>
      <c r="D95" s="1"/>
      <c r="E95" s="1"/>
      <c r="F95" s="1"/>
      <c r="G95" s="1"/>
      <c r="H95" s="1"/>
      <c r="I95" s="1"/>
      <c r="J95" s="1"/>
      <c r="K95" s="1"/>
      <c r="L95" s="1"/>
      <c r="M95" s="1"/>
    </row>
    <row r="96" spans="1:13" ht="30" customHeight="1">
      <c r="A96" s="1"/>
      <c r="B96" s="1"/>
      <c r="C96" s="1"/>
      <c r="D96" s="1"/>
      <c r="E96" s="1"/>
      <c r="F96" s="1"/>
      <c r="G96" s="1"/>
      <c r="H96" s="1"/>
      <c r="I96" s="1"/>
      <c r="J96" s="1"/>
      <c r="K96" s="1"/>
      <c r="L96" s="1"/>
      <c r="M96" s="1"/>
    </row>
    <row r="97" spans="1:13" ht="30" customHeight="1">
      <c r="A97" s="1"/>
      <c r="B97" s="1"/>
      <c r="C97" s="1"/>
      <c r="D97" s="1"/>
      <c r="E97" s="1"/>
      <c r="F97" s="1"/>
      <c r="G97" s="1"/>
      <c r="H97" s="1"/>
      <c r="I97" s="1"/>
      <c r="J97" s="1"/>
      <c r="K97" s="1"/>
      <c r="L97" s="1"/>
      <c r="M97" s="1"/>
    </row>
    <row r="98" spans="1:13" ht="30" customHeight="1">
      <c r="A98" s="1"/>
      <c r="B98" s="1"/>
      <c r="C98" s="1"/>
      <c r="D98" s="1"/>
      <c r="E98" s="1"/>
      <c r="F98" s="1"/>
      <c r="G98" s="1"/>
      <c r="H98" s="1"/>
      <c r="I98" s="1"/>
      <c r="J98" s="1"/>
      <c r="K98" s="1"/>
      <c r="L98" s="1"/>
      <c r="M98" s="1"/>
    </row>
    <row r="99" spans="1:13" ht="30" customHeight="1">
      <c r="A99" s="1"/>
      <c r="B99" s="1"/>
      <c r="C99" s="1"/>
      <c r="D99" s="1"/>
      <c r="E99" s="1"/>
      <c r="F99" s="1"/>
      <c r="G99" s="1"/>
      <c r="H99" s="1"/>
      <c r="I99" s="1"/>
      <c r="J99" s="1"/>
      <c r="K99" s="1"/>
      <c r="L99" s="1"/>
      <c r="M99" s="1"/>
    </row>
    <row r="100" spans="1:13" ht="30" customHeight="1">
      <c r="A100" s="1"/>
      <c r="B100" s="1"/>
      <c r="C100" s="1"/>
      <c r="D100" s="1"/>
      <c r="E100" s="1"/>
      <c r="F100" s="1"/>
      <c r="G100" s="1"/>
      <c r="H100" s="1"/>
      <c r="I100" s="1"/>
      <c r="J100" s="1"/>
      <c r="K100" s="1"/>
      <c r="L100" s="1"/>
      <c r="M100" s="1"/>
    </row>
    <row r="101" spans="1:13" ht="30" customHeight="1">
      <c r="A101" s="1"/>
      <c r="B101" s="1"/>
      <c r="C101" s="1"/>
      <c r="D101" s="1"/>
      <c r="E101" s="1"/>
      <c r="F101" s="1"/>
      <c r="G101" s="1"/>
      <c r="H101" s="1"/>
      <c r="I101" s="1"/>
      <c r="J101" s="1"/>
      <c r="K101" s="1"/>
      <c r="L101" s="1"/>
      <c r="M101" s="1"/>
    </row>
    <row r="102" spans="1:13" ht="30" customHeight="1">
      <c r="A102" s="1"/>
      <c r="B102" s="1"/>
      <c r="C102" s="1"/>
      <c r="D102" s="1"/>
      <c r="E102" s="1"/>
      <c r="F102" s="1"/>
      <c r="G102" s="1"/>
      <c r="H102" s="1"/>
      <c r="I102" s="1"/>
      <c r="J102" s="1"/>
      <c r="K102" s="1"/>
      <c r="L102" s="1"/>
      <c r="M102" s="1"/>
    </row>
    <row r="103" spans="1:13" ht="30" customHeight="1">
      <c r="A103" s="1"/>
      <c r="B103" s="1"/>
      <c r="C103" s="1"/>
      <c r="D103" s="1"/>
      <c r="E103" s="1"/>
      <c r="F103" s="1"/>
      <c r="G103" s="1"/>
      <c r="H103" s="1"/>
      <c r="I103" s="1"/>
      <c r="J103" s="1"/>
      <c r="K103" s="1"/>
      <c r="L103" s="1"/>
      <c r="M103" s="1"/>
    </row>
    <row r="104" spans="1:13" ht="30" customHeight="1">
      <c r="A104" s="1"/>
      <c r="B104" s="1"/>
      <c r="C104" s="1"/>
      <c r="D104" s="1"/>
      <c r="E104" s="1"/>
      <c r="F104" s="1"/>
      <c r="G104" s="1"/>
      <c r="H104" s="1"/>
      <c r="I104" s="1"/>
      <c r="J104" s="1"/>
      <c r="K104" s="1"/>
      <c r="L104" s="1"/>
      <c r="M104" s="1"/>
    </row>
    <row r="105" spans="1:13" ht="30" customHeight="1">
      <c r="A105" s="1"/>
      <c r="B105" s="1"/>
      <c r="C105" s="1"/>
      <c r="D105" s="1"/>
      <c r="E105" s="1"/>
      <c r="F105" s="1"/>
      <c r="G105" s="1"/>
      <c r="H105" s="1"/>
      <c r="I105" s="1"/>
      <c r="J105" s="1"/>
      <c r="K105" s="1"/>
      <c r="L105" s="1"/>
      <c r="M105" s="1"/>
    </row>
    <row r="106" spans="1:13" ht="30" customHeight="1">
      <c r="A106" s="1"/>
      <c r="B106" s="1"/>
      <c r="C106" s="1"/>
      <c r="D106" s="1"/>
      <c r="E106" s="1"/>
      <c r="F106" s="1"/>
      <c r="G106" s="1"/>
      <c r="H106" s="1"/>
      <c r="I106" s="1"/>
      <c r="J106" s="1"/>
      <c r="K106" s="1"/>
      <c r="L106" s="1"/>
      <c r="M106" s="1"/>
    </row>
    <row r="107" spans="1:13" ht="30" customHeight="1">
      <c r="A107" s="1"/>
      <c r="B107" s="1"/>
      <c r="C107" s="1"/>
      <c r="D107" s="1"/>
      <c r="E107" s="1"/>
      <c r="F107" s="1"/>
      <c r="G107" s="1"/>
      <c r="H107" s="1"/>
      <c r="I107" s="1"/>
      <c r="J107" s="1"/>
      <c r="K107" s="1"/>
      <c r="L107" s="1"/>
      <c r="M107" s="1"/>
    </row>
    <row r="108" spans="1:13" ht="30" customHeight="1">
      <c r="A108" s="1"/>
      <c r="B108" s="1"/>
      <c r="C108" s="1"/>
      <c r="D108" s="1"/>
      <c r="E108" s="1"/>
      <c r="F108" s="1"/>
      <c r="G108" s="1"/>
      <c r="H108" s="1"/>
      <c r="I108" s="1"/>
      <c r="J108" s="1"/>
      <c r="K108" s="1"/>
      <c r="L108" s="1"/>
      <c r="M108" s="1"/>
    </row>
    <row r="109" spans="1:13" ht="30" customHeight="1">
      <c r="A109" s="1"/>
      <c r="B109" s="1"/>
      <c r="C109" s="1"/>
      <c r="D109" s="1"/>
      <c r="E109" s="1"/>
      <c r="F109" s="1"/>
      <c r="G109" s="1"/>
      <c r="H109" s="1"/>
      <c r="I109" s="1"/>
      <c r="J109" s="1"/>
      <c r="K109" s="1"/>
      <c r="L109" s="1"/>
      <c r="M109" s="1"/>
    </row>
    <row r="110" spans="1:13" ht="30" customHeight="1">
      <c r="A110" s="1"/>
      <c r="B110" s="1"/>
      <c r="C110" s="1"/>
      <c r="D110" s="1"/>
      <c r="E110" s="1"/>
      <c r="F110" s="1"/>
      <c r="G110" s="1"/>
      <c r="H110" s="1"/>
      <c r="I110" s="1"/>
      <c r="J110" s="1"/>
      <c r="K110" s="1"/>
      <c r="L110" s="1"/>
      <c r="M110" s="1"/>
    </row>
    <row r="111" spans="1:13" ht="30" customHeight="1">
      <c r="A111" s="1"/>
      <c r="B111" s="1"/>
      <c r="C111" s="1"/>
      <c r="D111" s="1"/>
      <c r="E111" s="1"/>
      <c r="F111" s="1"/>
      <c r="G111" s="1"/>
      <c r="H111" s="1"/>
      <c r="I111" s="1"/>
      <c r="J111" s="1"/>
      <c r="K111" s="1"/>
      <c r="L111" s="1"/>
      <c r="M111" s="1"/>
    </row>
    <row r="112" spans="1:13" ht="30" customHeight="1">
      <c r="A112" s="1"/>
      <c r="B112" s="1"/>
      <c r="C112" s="1"/>
      <c r="D112" s="1"/>
      <c r="E112" s="1"/>
      <c r="F112" s="1"/>
      <c r="G112" s="1"/>
      <c r="H112" s="1"/>
      <c r="I112" s="1"/>
      <c r="J112" s="1"/>
      <c r="K112" s="1"/>
      <c r="L112" s="1"/>
      <c r="M112" s="1"/>
    </row>
    <row r="113" spans="1:13" ht="30" customHeight="1">
      <c r="A113" s="1"/>
      <c r="B113" s="1"/>
      <c r="C113" s="1"/>
      <c r="D113" s="1"/>
      <c r="E113" s="1"/>
      <c r="F113" s="1"/>
      <c r="G113" s="1"/>
      <c r="H113" s="1"/>
      <c r="I113" s="1"/>
      <c r="J113" s="1"/>
      <c r="K113" s="1"/>
      <c r="L113" s="1"/>
      <c r="M113" s="1"/>
    </row>
    <row r="114" spans="1:13" ht="30" customHeight="1">
      <c r="A114" s="1"/>
      <c r="B114" s="1"/>
      <c r="C114" s="1"/>
      <c r="D114" s="1"/>
      <c r="E114" s="1"/>
      <c r="F114" s="1"/>
      <c r="G114" s="1"/>
      <c r="H114" s="1"/>
      <c r="I114" s="1"/>
      <c r="J114" s="1"/>
      <c r="K114" s="1"/>
      <c r="L114" s="1"/>
      <c r="M114" s="1"/>
    </row>
    <row r="115" spans="1:13" ht="30" customHeight="1">
      <c r="A115" s="1"/>
      <c r="B115" s="1"/>
      <c r="C115" s="1"/>
      <c r="D115" s="1"/>
      <c r="E115" s="1"/>
      <c r="F115" s="1"/>
      <c r="G115" s="1"/>
      <c r="H115" s="1"/>
      <c r="I115" s="1"/>
      <c r="J115" s="1"/>
      <c r="K115" s="1"/>
      <c r="L115" s="1"/>
      <c r="M115" s="1"/>
    </row>
    <row r="116" spans="1:13" ht="30" customHeight="1">
      <c r="A116" s="1"/>
      <c r="B116" s="1"/>
      <c r="C116" s="1"/>
      <c r="D116" s="1"/>
      <c r="E116" s="1"/>
      <c r="F116" s="1"/>
      <c r="G116" s="1"/>
      <c r="H116" s="1"/>
      <c r="I116" s="1"/>
      <c r="J116" s="1"/>
      <c r="K116" s="1"/>
      <c r="L116" s="1"/>
      <c r="M116" s="1"/>
    </row>
    <row r="117" spans="1:13" ht="30" customHeight="1">
      <c r="A117" s="1"/>
      <c r="B117" s="1"/>
      <c r="C117" s="1"/>
      <c r="D117" s="1"/>
      <c r="E117" s="1"/>
      <c r="F117" s="1"/>
      <c r="G117" s="1"/>
      <c r="H117" s="1"/>
      <c r="I117" s="1"/>
      <c r="J117" s="1"/>
      <c r="K117" s="1"/>
      <c r="L117" s="1"/>
      <c r="M117" s="1"/>
    </row>
    <row r="118" spans="1:13" ht="30" customHeight="1">
      <c r="A118" s="1"/>
      <c r="B118" s="1"/>
      <c r="C118" s="1"/>
      <c r="D118" s="1"/>
      <c r="E118" s="1"/>
      <c r="F118" s="1"/>
      <c r="G118" s="1"/>
      <c r="H118" s="1"/>
      <c r="I118" s="1"/>
      <c r="J118" s="1"/>
      <c r="K118" s="1"/>
      <c r="L118" s="1"/>
      <c r="M118" s="1"/>
    </row>
    <row r="119" spans="1:13" ht="30" customHeight="1">
      <c r="A119" s="1"/>
      <c r="B119" s="1"/>
      <c r="C119" s="1"/>
      <c r="D119" s="1"/>
      <c r="E119" s="1"/>
      <c r="F119" s="1"/>
      <c r="G119" s="1"/>
      <c r="H119" s="1"/>
      <c r="I119" s="1"/>
      <c r="J119" s="1"/>
      <c r="K119" s="1"/>
      <c r="L119" s="1"/>
      <c r="M119" s="1"/>
    </row>
    <row r="120" spans="1:13" ht="30" customHeight="1">
      <c r="A120" s="1"/>
      <c r="B120" s="1"/>
      <c r="C120" s="1"/>
      <c r="D120" s="1"/>
      <c r="E120" s="1"/>
      <c r="F120" s="1"/>
      <c r="G120" s="1"/>
      <c r="H120" s="1"/>
      <c r="I120" s="1"/>
      <c r="J120" s="1"/>
      <c r="K120" s="1"/>
      <c r="L120" s="1"/>
      <c r="M120" s="1"/>
    </row>
    <row r="121" spans="1:13" ht="30" customHeight="1">
      <c r="A121" s="1"/>
      <c r="B121" s="1"/>
      <c r="C121" s="1"/>
      <c r="D121" s="1"/>
      <c r="E121" s="1"/>
      <c r="F121" s="1"/>
      <c r="G121" s="1"/>
      <c r="H121" s="1"/>
      <c r="I121" s="1"/>
      <c r="J121" s="1"/>
      <c r="K121" s="1"/>
      <c r="L121" s="1"/>
      <c r="M121" s="1"/>
    </row>
    <row r="122" spans="1:13" ht="30" customHeight="1">
      <c r="A122" s="1"/>
      <c r="B122" s="1"/>
      <c r="C122" s="1"/>
      <c r="D122" s="1"/>
      <c r="E122" s="1"/>
      <c r="F122" s="1"/>
      <c r="G122" s="1"/>
      <c r="H122" s="1"/>
      <c r="I122" s="1"/>
      <c r="J122" s="1"/>
      <c r="K122" s="1"/>
      <c r="L122" s="1"/>
      <c r="M122" s="1"/>
    </row>
    <row r="123" spans="1:13" ht="30" customHeight="1">
      <c r="A123" s="1"/>
      <c r="B123" s="1"/>
      <c r="C123" s="1"/>
      <c r="D123" s="1"/>
      <c r="E123" s="1"/>
      <c r="F123" s="1"/>
      <c r="G123" s="1"/>
      <c r="H123" s="1"/>
      <c r="I123" s="1"/>
      <c r="J123" s="1"/>
      <c r="K123" s="1"/>
      <c r="L123" s="1"/>
      <c r="M123" s="1"/>
    </row>
    <row r="124" spans="1:13" ht="30" customHeight="1">
      <c r="A124" s="1"/>
      <c r="B124" s="1"/>
      <c r="C124" s="1"/>
      <c r="D124" s="1"/>
      <c r="E124" s="1"/>
      <c r="F124" s="1"/>
      <c r="G124" s="1"/>
      <c r="H124" s="1"/>
      <c r="I124" s="1"/>
      <c r="J124" s="1"/>
      <c r="K124" s="1"/>
      <c r="L124" s="1"/>
      <c r="M124" s="1"/>
    </row>
    <row r="125" spans="1:13" ht="30" customHeight="1">
      <c r="A125" s="1"/>
      <c r="B125" s="1"/>
      <c r="C125" s="1"/>
      <c r="D125" s="1"/>
      <c r="E125" s="1"/>
      <c r="F125" s="1"/>
      <c r="G125" s="1"/>
      <c r="H125" s="1"/>
      <c r="I125" s="1"/>
      <c r="J125" s="1"/>
      <c r="K125" s="1"/>
      <c r="L125" s="1"/>
      <c r="M125" s="1"/>
    </row>
    <row r="126" spans="1:13" ht="30" customHeight="1">
      <c r="A126" s="1"/>
      <c r="B126" s="1"/>
      <c r="C126" s="1"/>
      <c r="D126" s="1"/>
      <c r="E126" s="1"/>
      <c r="F126" s="1"/>
      <c r="G126" s="1"/>
      <c r="H126" s="1"/>
      <c r="I126" s="1"/>
      <c r="J126" s="1"/>
      <c r="K126" s="1"/>
      <c r="L126" s="1"/>
      <c r="M126" s="1"/>
    </row>
    <row r="127" spans="1:13" ht="30" customHeight="1">
      <c r="A127" s="1"/>
      <c r="B127" s="1"/>
      <c r="C127" s="1"/>
      <c r="D127" s="1"/>
      <c r="E127" s="1"/>
      <c r="F127" s="1"/>
      <c r="G127" s="1"/>
      <c r="H127" s="1"/>
      <c r="I127" s="1"/>
      <c r="J127" s="1"/>
      <c r="K127" s="1"/>
      <c r="L127" s="1"/>
      <c r="M127" s="1"/>
    </row>
    <row r="128" spans="1:13" ht="30" customHeight="1">
      <c r="A128" s="1"/>
      <c r="B128" s="1"/>
      <c r="C128" s="1"/>
      <c r="D128" s="1"/>
      <c r="E128" s="1"/>
      <c r="F128" s="1"/>
      <c r="G128" s="1"/>
      <c r="H128" s="1"/>
      <c r="I128" s="1"/>
      <c r="J128" s="1"/>
      <c r="K128" s="1"/>
      <c r="L128" s="1"/>
      <c r="M128" s="1"/>
    </row>
    <row r="129" spans="1:13" ht="30" customHeight="1">
      <c r="A129" s="1"/>
      <c r="B129" s="1"/>
      <c r="C129" s="1"/>
      <c r="D129" s="1"/>
      <c r="E129" s="1"/>
      <c r="F129" s="1"/>
      <c r="G129" s="1"/>
      <c r="H129" s="1"/>
      <c r="I129" s="1"/>
      <c r="J129" s="1"/>
      <c r="K129" s="1"/>
      <c r="L129" s="1"/>
      <c r="M129" s="1"/>
    </row>
    <row r="130" spans="1:13" ht="30" customHeight="1">
      <c r="A130" s="1"/>
      <c r="B130" s="1"/>
      <c r="C130" s="1"/>
      <c r="D130" s="1"/>
      <c r="E130" s="1"/>
      <c r="F130" s="1"/>
      <c r="G130" s="1"/>
      <c r="H130" s="1"/>
      <c r="I130" s="1"/>
      <c r="J130" s="1"/>
      <c r="K130" s="1"/>
      <c r="L130" s="1"/>
      <c r="M130" s="1"/>
    </row>
    <row r="131" spans="1:13" ht="30" customHeight="1">
      <c r="A131" s="1"/>
      <c r="B131" s="1"/>
      <c r="C131" s="1"/>
      <c r="D131" s="1"/>
      <c r="E131" s="1"/>
      <c r="F131" s="1"/>
      <c r="G131" s="1"/>
      <c r="H131" s="1"/>
      <c r="I131" s="1"/>
      <c r="J131" s="1"/>
      <c r="K131" s="1"/>
      <c r="L131" s="1"/>
      <c r="M131" s="1"/>
    </row>
    <row r="132" spans="1:13" ht="30" customHeight="1">
      <c r="A132" s="1"/>
      <c r="B132" s="1"/>
      <c r="C132" s="1"/>
      <c r="D132" s="1"/>
      <c r="E132" s="1"/>
      <c r="F132" s="1"/>
      <c r="G132" s="1"/>
      <c r="H132" s="1"/>
      <c r="I132" s="1"/>
      <c r="J132" s="1"/>
      <c r="K132" s="1"/>
      <c r="L132" s="1"/>
      <c r="M132" s="1"/>
    </row>
    <row r="133" spans="1:13" ht="30" customHeight="1">
      <c r="A133" s="1"/>
      <c r="B133" s="1"/>
      <c r="C133" s="1"/>
      <c r="D133" s="1"/>
      <c r="E133" s="1"/>
      <c r="F133" s="1"/>
      <c r="G133" s="1"/>
      <c r="H133" s="1"/>
      <c r="I133" s="1"/>
      <c r="J133" s="1"/>
      <c r="K133" s="1"/>
      <c r="L133" s="1"/>
      <c r="M133" s="1"/>
    </row>
    <row r="134" spans="1:13" ht="30" customHeight="1">
      <c r="A134" s="1"/>
      <c r="B134" s="1"/>
      <c r="C134" s="1"/>
      <c r="D134" s="1"/>
      <c r="E134" s="1"/>
      <c r="F134" s="1"/>
      <c r="G134" s="1"/>
      <c r="H134" s="1"/>
      <c r="I134" s="1"/>
      <c r="J134" s="1"/>
      <c r="K134" s="1"/>
      <c r="L134" s="1"/>
      <c r="M134" s="1"/>
    </row>
    <row r="135" spans="1:13" ht="30" customHeight="1">
      <c r="A135" s="1"/>
      <c r="B135" s="1"/>
      <c r="C135" s="1"/>
      <c r="D135" s="1"/>
      <c r="E135" s="1"/>
      <c r="F135" s="1"/>
      <c r="G135" s="1"/>
      <c r="H135" s="1"/>
      <c r="I135" s="1"/>
      <c r="J135" s="1"/>
      <c r="K135" s="1"/>
      <c r="L135" s="1"/>
      <c r="M135" s="1"/>
    </row>
    <row r="136" spans="1:13" ht="30" customHeight="1">
      <c r="A136" s="1"/>
      <c r="B136" s="1"/>
      <c r="C136" s="1"/>
      <c r="D136" s="1"/>
      <c r="E136" s="1"/>
      <c r="F136" s="1"/>
      <c r="G136" s="1"/>
      <c r="H136" s="1"/>
      <c r="I136" s="1"/>
      <c r="J136" s="1"/>
      <c r="K136" s="1"/>
      <c r="L136" s="1"/>
      <c r="M136" s="1"/>
    </row>
    <row r="137" spans="1:13" ht="30" customHeight="1">
      <c r="A137" s="1"/>
      <c r="B137" s="1"/>
      <c r="C137" s="1"/>
      <c r="D137" s="1"/>
      <c r="E137" s="1"/>
      <c r="F137" s="1"/>
      <c r="G137" s="1"/>
      <c r="H137" s="1"/>
      <c r="I137" s="1"/>
      <c r="J137" s="1"/>
      <c r="K137" s="1"/>
      <c r="L137" s="1"/>
      <c r="M137" s="1"/>
    </row>
    <row r="138" spans="1:13" ht="30" customHeight="1">
      <c r="A138" s="1"/>
      <c r="B138" s="1"/>
      <c r="C138" s="1"/>
      <c r="D138" s="1"/>
      <c r="E138" s="1"/>
      <c r="F138" s="1"/>
      <c r="G138" s="1"/>
      <c r="H138" s="1"/>
      <c r="I138" s="1"/>
      <c r="J138" s="1"/>
      <c r="K138" s="1"/>
      <c r="L138" s="1"/>
      <c r="M138" s="1"/>
    </row>
    <row r="139" spans="1:13" ht="30" customHeight="1">
      <c r="A139" s="1"/>
      <c r="B139" s="1"/>
      <c r="C139" s="1"/>
      <c r="D139" s="1"/>
      <c r="E139" s="1"/>
      <c r="F139" s="1"/>
      <c r="G139" s="1"/>
      <c r="H139" s="1"/>
      <c r="I139" s="1"/>
      <c r="J139" s="1"/>
      <c r="K139" s="1"/>
      <c r="L139" s="1"/>
      <c r="M139" s="1"/>
    </row>
    <row r="140" spans="1:13" ht="30" customHeight="1">
      <c r="A140" s="1"/>
      <c r="B140" s="1"/>
      <c r="C140" s="1"/>
      <c r="D140" s="1"/>
      <c r="E140" s="1"/>
      <c r="F140" s="1"/>
      <c r="G140" s="1"/>
      <c r="H140" s="1"/>
      <c r="I140" s="1"/>
      <c r="J140" s="1"/>
      <c r="K140" s="1"/>
      <c r="L140" s="1"/>
      <c r="M140" s="1"/>
    </row>
    <row r="141" spans="1:13" ht="30" customHeight="1">
      <c r="A141" s="1"/>
      <c r="B141" s="1"/>
      <c r="C141" s="1"/>
      <c r="D141" s="1"/>
      <c r="E141" s="1"/>
      <c r="F141" s="1"/>
      <c r="G141" s="1"/>
      <c r="H141" s="1"/>
      <c r="I141" s="1"/>
      <c r="J141" s="1"/>
      <c r="K141" s="1"/>
      <c r="L141" s="1"/>
      <c r="M141" s="1"/>
    </row>
    <row r="142" spans="1:13" ht="30" customHeight="1">
      <c r="A142" s="1"/>
      <c r="B142" s="1"/>
      <c r="C142" s="1"/>
      <c r="D142" s="1"/>
      <c r="E142" s="1"/>
      <c r="F142" s="1"/>
      <c r="G142" s="1"/>
      <c r="H142" s="1"/>
      <c r="I142" s="1"/>
      <c r="J142" s="1"/>
      <c r="K142" s="1"/>
      <c r="L142" s="1"/>
      <c r="M142" s="1"/>
    </row>
    <row r="143" spans="1:13" ht="30" customHeight="1">
      <c r="A143" s="1"/>
      <c r="B143" s="1"/>
      <c r="C143" s="1"/>
      <c r="D143" s="1"/>
      <c r="E143" s="1"/>
      <c r="F143" s="1"/>
      <c r="G143" s="1"/>
      <c r="H143" s="1"/>
      <c r="I143" s="1"/>
      <c r="J143" s="1"/>
      <c r="K143" s="1"/>
      <c r="L143" s="1"/>
      <c r="M143" s="1"/>
    </row>
    <row r="144" spans="1:13" ht="30" customHeight="1">
      <c r="A144" s="1"/>
      <c r="B144" s="1"/>
      <c r="C144" s="1"/>
      <c r="D144" s="1"/>
      <c r="E144" s="1"/>
      <c r="F144" s="1"/>
      <c r="G144" s="1"/>
      <c r="H144" s="1"/>
      <c r="I144" s="1"/>
      <c r="J144" s="1"/>
      <c r="K144" s="1"/>
      <c r="L144" s="1"/>
      <c r="M144" s="1"/>
    </row>
    <row r="145" spans="1:13" ht="30" customHeight="1">
      <c r="A145" s="1"/>
      <c r="B145" s="1"/>
      <c r="C145" s="1"/>
      <c r="D145" s="1"/>
      <c r="E145" s="1"/>
      <c r="F145" s="1"/>
      <c r="G145" s="1"/>
      <c r="H145" s="1"/>
      <c r="I145" s="1"/>
      <c r="J145" s="1"/>
      <c r="K145" s="1"/>
      <c r="L145" s="1"/>
      <c r="M145" s="1"/>
    </row>
    <row r="146" spans="1:13" ht="30" customHeight="1">
      <c r="A146" s="1"/>
      <c r="B146" s="1"/>
      <c r="C146" s="1"/>
      <c r="D146" s="1"/>
      <c r="E146" s="1"/>
      <c r="F146" s="1"/>
      <c r="G146" s="1"/>
      <c r="H146" s="1"/>
      <c r="I146" s="1"/>
      <c r="J146" s="1"/>
      <c r="K146" s="1"/>
      <c r="L146" s="1"/>
      <c r="M146" s="1"/>
    </row>
    <row r="147" spans="1:13" ht="30" customHeight="1">
      <c r="A147" s="1"/>
      <c r="B147" s="1"/>
      <c r="C147" s="1"/>
      <c r="D147" s="1"/>
      <c r="E147" s="1"/>
      <c r="F147" s="1"/>
      <c r="G147" s="1"/>
      <c r="H147" s="1"/>
      <c r="I147" s="1"/>
      <c r="J147" s="1"/>
      <c r="K147" s="1"/>
      <c r="L147" s="1"/>
      <c r="M147" s="1"/>
    </row>
    <row r="148" spans="1:13" ht="30" customHeight="1">
      <c r="A148" s="1"/>
      <c r="B148" s="1"/>
      <c r="C148" s="1"/>
      <c r="D148" s="1"/>
      <c r="E148" s="1"/>
      <c r="F148" s="1"/>
      <c r="G148" s="1"/>
      <c r="H148" s="1"/>
      <c r="I148" s="1"/>
      <c r="J148" s="1"/>
      <c r="K148" s="1"/>
      <c r="L148" s="1"/>
      <c r="M148" s="1"/>
    </row>
    <row r="149" spans="1:13" ht="30" customHeight="1">
      <c r="A149" s="1"/>
      <c r="B149" s="1"/>
      <c r="C149" s="1"/>
      <c r="D149" s="1"/>
      <c r="E149" s="1"/>
      <c r="F149" s="1"/>
      <c r="G149" s="1"/>
      <c r="H149" s="1"/>
      <c r="I149" s="1"/>
      <c r="J149" s="1"/>
      <c r="K149" s="1"/>
      <c r="L149" s="1"/>
      <c r="M149" s="1"/>
    </row>
    <row r="150" spans="1:13" ht="30" customHeight="1">
      <c r="A150" s="1"/>
      <c r="B150" s="1"/>
      <c r="C150" s="1"/>
      <c r="D150" s="1"/>
      <c r="E150" s="1"/>
      <c r="F150" s="1"/>
      <c r="G150" s="1"/>
      <c r="H150" s="1"/>
      <c r="I150" s="1"/>
      <c r="J150" s="1"/>
      <c r="K150" s="1"/>
      <c r="L150" s="1"/>
      <c r="M150" s="1"/>
    </row>
    <row r="151" spans="1:13" ht="30" customHeight="1">
      <c r="A151" s="1"/>
      <c r="B151" s="1"/>
      <c r="C151" s="1"/>
      <c r="D151" s="1"/>
      <c r="E151" s="1"/>
      <c r="F151" s="1"/>
      <c r="G151" s="1"/>
      <c r="H151" s="1"/>
      <c r="I151" s="1"/>
      <c r="J151" s="1"/>
      <c r="K151" s="1"/>
      <c r="L151" s="1"/>
      <c r="M151" s="1"/>
    </row>
    <row r="152" spans="1:13" ht="30" customHeight="1">
      <c r="A152" s="1"/>
      <c r="B152" s="1"/>
      <c r="C152" s="1"/>
      <c r="D152" s="1"/>
      <c r="E152" s="1"/>
      <c r="F152" s="1"/>
      <c r="G152" s="1"/>
      <c r="H152" s="1"/>
      <c r="I152" s="1"/>
      <c r="J152" s="1"/>
      <c r="K152" s="1"/>
      <c r="L152" s="1"/>
      <c r="M152" s="1"/>
    </row>
    <row r="153" spans="1:13" ht="30" customHeight="1">
      <c r="A153" s="1"/>
      <c r="B153" s="1"/>
      <c r="C153" s="1"/>
      <c r="D153" s="1"/>
      <c r="E153" s="1"/>
      <c r="F153" s="1"/>
      <c r="G153" s="1"/>
      <c r="H153" s="1"/>
      <c r="I153" s="1"/>
      <c r="J153" s="1"/>
      <c r="K153" s="1"/>
      <c r="L153" s="1"/>
      <c r="M153" s="1"/>
    </row>
    <row r="154" spans="1:13" ht="30" customHeight="1">
      <c r="A154" s="1"/>
      <c r="B154" s="1"/>
      <c r="C154" s="1"/>
      <c r="D154" s="1"/>
      <c r="E154" s="1"/>
      <c r="F154" s="1"/>
      <c r="G154" s="1"/>
      <c r="H154" s="1"/>
      <c r="I154" s="1"/>
      <c r="J154" s="1"/>
      <c r="K154" s="1"/>
      <c r="L154" s="1"/>
      <c r="M154" s="1"/>
    </row>
    <row r="155" spans="1:13" ht="30" customHeight="1">
      <c r="A155" s="1"/>
      <c r="B155" s="1"/>
      <c r="C155" s="1"/>
      <c r="D155" s="1"/>
      <c r="E155" s="1"/>
      <c r="F155" s="1"/>
      <c r="G155" s="1"/>
      <c r="H155" s="1"/>
      <c r="I155" s="1"/>
      <c r="J155" s="1"/>
      <c r="K155" s="1"/>
      <c r="L155" s="1"/>
      <c r="M155" s="1"/>
    </row>
    <row r="156" spans="1:13" ht="30" customHeight="1">
      <c r="A156" s="1"/>
      <c r="B156" s="1"/>
      <c r="C156" s="1"/>
      <c r="D156" s="1"/>
      <c r="E156" s="1"/>
      <c r="F156" s="1"/>
      <c r="G156" s="1"/>
      <c r="H156" s="1"/>
      <c r="I156" s="1"/>
      <c r="J156" s="1"/>
      <c r="K156" s="1"/>
      <c r="L156" s="1"/>
      <c r="M156" s="1"/>
    </row>
    <row r="157" spans="1:13" ht="30" customHeight="1">
      <c r="A157" s="1"/>
      <c r="B157" s="1"/>
      <c r="C157" s="1"/>
      <c r="D157" s="1"/>
      <c r="E157" s="1"/>
      <c r="F157" s="1"/>
      <c r="G157" s="1"/>
      <c r="H157" s="1"/>
      <c r="I157" s="1"/>
      <c r="J157" s="1"/>
      <c r="K157" s="1"/>
      <c r="L157" s="1"/>
      <c r="M157" s="1"/>
    </row>
    <row r="158" spans="1:13" ht="30" customHeight="1">
      <c r="A158" s="1"/>
      <c r="B158" s="1"/>
      <c r="C158" s="1"/>
      <c r="D158" s="1"/>
      <c r="E158" s="1"/>
      <c r="F158" s="1"/>
      <c r="G158" s="1"/>
      <c r="H158" s="1"/>
      <c r="I158" s="1"/>
      <c r="J158" s="1"/>
      <c r="K158" s="1"/>
      <c r="L158" s="1"/>
      <c r="M158" s="1"/>
    </row>
    <row r="159" spans="1:13" ht="30" customHeight="1">
      <c r="A159" s="1"/>
      <c r="B159" s="1"/>
      <c r="C159" s="1"/>
      <c r="D159" s="1"/>
      <c r="E159" s="1"/>
      <c r="F159" s="1"/>
      <c r="G159" s="1"/>
      <c r="H159" s="1"/>
      <c r="I159" s="1"/>
      <c r="J159" s="1"/>
      <c r="K159" s="1"/>
      <c r="L159" s="1"/>
      <c r="M159" s="1"/>
    </row>
    <row r="160" spans="1:13" ht="30" customHeight="1">
      <c r="A160" s="1"/>
      <c r="B160" s="1"/>
      <c r="C160" s="1"/>
      <c r="D160" s="1"/>
      <c r="E160" s="1"/>
      <c r="F160" s="1"/>
      <c r="G160" s="1"/>
      <c r="H160" s="1"/>
      <c r="I160" s="1"/>
      <c r="J160" s="1"/>
      <c r="K160" s="1"/>
      <c r="L160" s="1"/>
      <c r="M160" s="1"/>
    </row>
    <row r="161" spans="1:13" ht="30" customHeight="1">
      <c r="A161" s="1"/>
      <c r="B161" s="1"/>
      <c r="C161" s="1"/>
      <c r="D161" s="1"/>
      <c r="E161" s="1"/>
      <c r="F161" s="1"/>
      <c r="G161" s="1"/>
      <c r="H161" s="1"/>
      <c r="I161" s="1"/>
      <c r="J161" s="1"/>
      <c r="K161" s="1"/>
      <c r="L161" s="1"/>
      <c r="M161" s="1"/>
    </row>
    <row r="162" spans="1:13" ht="30" customHeight="1">
      <c r="A162" s="1"/>
      <c r="B162" s="1"/>
      <c r="C162" s="1"/>
      <c r="D162" s="1"/>
      <c r="E162" s="1"/>
      <c r="F162" s="1"/>
      <c r="G162" s="1"/>
      <c r="H162" s="1"/>
      <c r="I162" s="1"/>
      <c r="J162" s="1"/>
      <c r="K162" s="1"/>
      <c r="L162" s="1"/>
      <c r="M162" s="1"/>
    </row>
    <row r="163" spans="1:13" ht="30" customHeight="1">
      <c r="A163" s="1"/>
      <c r="B163" s="1"/>
      <c r="C163" s="1"/>
      <c r="D163" s="1"/>
      <c r="E163" s="1"/>
      <c r="F163" s="1"/>
      <c r="G163" s="1"/>
      <c r="H163" s="1"/>
      <c r="I163" s="1"/>
      <c r="J163" s="1"/>
      <c r="K163" s="1"/>
      <c r="L163" s="1"/>
      <c r="M163" s="1"/>
    </row>
    <row r="164" spans="1:13" ht="30" customHeight="1">
      <c r="A164" s="1"/>
      <c r="B164" s="1"/>
      <c r="C164" s="1"/>
      <c r="D164" s="1"/>
      <c r="E164" s="1"/>
      <c r="F164" s="1"/>
      <c r="G164" s="1"/>
      <c r="H164" s="1"/>
      <c r="I164" s="1"/>
      <c r="J164" s="1"/>
      <c r="K164" s="1"/>
      <c r="L164" s="1"/>
      <c r="M164" s="1"/>
    </row>
    <row r="165" spans="1:13" ht="30" customHeight="1">
      <c r="A165" s="1"/>
      <c r="B165" s="1"/>
      <c r="C165" s="1"/>
      <c r="D165" s="1"/>
      <c r="E165" s="1"/>
      <c r="F165" s="1"/>
      <c r="G165" s="1"/>
      <c r="H165" s="1"/>
      <c r="I165" s="1"/>
      <c r="J165" s="1"/>
      <c r="K165" s="1"/>
      <c r="L165" s="1"/>
      <c r="M165" s="1"/>
    </row>
    <row r="166" spans="1:13" ht="30" customHeight="1">
      <c r="A166" s="1"/>
      <c r="B166" s="1"/>
      <c r="C166" s="1"/>
      <c r="D166" s="1"/>
      <c r="E166" s="1"/>
      <c r="F166" s="1"/>
      <c r="G166" s="1"/>
      <c r="H166" s="1"/>
      <c r="I166" s="1"/>
      <c r="J166" s="1"/>
      <c r="K166" s="1"/>
      <c r="L166" s="1"/>
      <c r="M166" s="1"/>
    </row>
    <row r="167" spans="1:13" ht="30" customHeight="1">
      <c r="A167" s="1"/>
      <c r="B167" s="1"/>
      <c r="C167" s="1"/>
      <c r="D167" s="1"/>
      <c r="E167" s="1"/>
      <c r="F167" s="1"/>
      <c r="G167" s="1"/>
      <c r="H167" s="1"/>
      <c r="I167" s="1"/>
      <c r="J167" s="1"/>
      <c r="K167" s="1"/>
      <c r="L167" s="1"/>
      <c r="M167" s="1"/>
    </row>
    <row r="168" spans="1:13" ht="30" customHeight="1">
      <c r="A168" s="1"/>
      <c r="B168" s="1"/>
      <c r="C168" s="1"/>
      <c r="D168" s="1"/>
      <c r="E168" s="1"/>
      <c r="F168" s="1"/>
      <c r="G168" s="1"/>
      <c r="H168" s="1"/>
      <c r="I168" s="1"/>
      <c r="J168" s="1"/>
      <c r="K168" s="1"/>
      <c r="L168" s="1"/>
      <c r="M168" s="1"/>
    </row>
    <row r="169" spans="1:13" ht="30" customHeight="1">
      <c r="A169" s="1"/>
      <c r="B169" s="1"/>
      <c r="C169" s="1"/>
      <c r="D169" s="1"/>
      <c r="E169" s="1"/>
      <c r="F169" s="1"/>
      <c r="G169" s="1"/>
      <c r="H169" s="1"/>
      <c r="I169" s="1"/>
      <c r="J169" s="1"/>
      <c r="K169" s="1"/>
      <c r="L169" s="1"/>
      <c r="M169" s="1"/>
    </row>
    <row r="170" spans="1:13" ht="30" customHeight="1">
      <c r="A170" s="1"/>
      <c r="B170" s="1"/>
      <c r="C170" s="1"/>
      <c r="D170" s="1"/>
      <c r="E170" s="1"/>
      <c r="F170" s="1"/>
      <c r="G170" s="1"/>
      <c r="H170" s="1"/>
      <c r="I170" s="1"/>
      <c r="J170" s="1"/>
      <c r="K170" s="1"/>
      <c r="L170" s="1"/>
      <c r="M170" s="1"/>
    </row>
    <row r="171" spans="1:13" ht="30" customHeight="1">
      <c r="A171" s="1"/>
      <c r="B171" s="1"/>
      <c r="C171" s="1"/>
      <c r="D171" s="1"/>
      <c r="E171" s="1"/>
      <c r="F171" s="1"/>
      <c r="G171" s="1"/>
      <c r="H171" s="1"/>
      <c r="I171" s="1"/>
      <c r="J171" s="1"/>
      <c r="K171" s="1"/>
      <c r="L171" s="1"/>
      <c r="M171" s="1"/>
    </row>
    <row r="172" spans="1:13" ht="30" customHeight="1">
      <c r="A172" s="1"/>
      <c r="B172" s="1"/>
      <c r="C172" s="1"/>
      <c r="D172" s="1"/>
      <c r="E172" s="1"/>
      <c r="F172" s="1"/>
      <c r="G172" s="1"/>
      <c r="H172" s="1"/>
      <c r="I172" s="1"/>
      <c r="J172" s="1"/>
      <c r="K172" s="1"/>
      <c r="L172" s="1"/>
      <c r="M172" s="1"/>
    </row>
    <row r="173" spans="1:13" ht="30" customHeight="1">
      <c r="A173" s="1"/>
      <c r="B173" s="1"/>
      <c r="C173" s="1"/>
      <c r="D173" s="1"/>
      <c r="E173" s="1"/>
      <c r="F173" s="1"/>
      <c r="G173" s="1"/>
      <c r="H173" s="1"/>
      <c r="I173" s="1"/>
      <c r="J173" s="1"/>
      <c r="K173" s="1"/>
      <c r="L173" s="1"/>
      <c r="M173" s="1"/>
    </row>
    <row r="174" spans="1:13" ht="30" customHeight="1">
      <c r="A174" s="1"/>
      <c r="B174" s="1"/>
      <c r="C174" s="1"/>
      <c r="D174" s="1"/>
      <c r="E174" s="1"/>
      <c r="F174" s="1"/>
      <c r="G174" s="1"/>
      <c r="H174" s="1"/>
      <c r="I174" s="1"/>
      <c r="J174" s="1"/>
      <c r="K174" s="1"/>
      <c r="L174" s="1"/>
      <c r="M174" s="1"/>
    </row>
    <row r="175" spans="1:13" ht="30" customHeight="1">
      <c r="A175" s="1"/>
      <c r="B175" s="1"/>
      <c r="C175" s="1"/>
      <c r="D175" s="1"/>
      <c r="E175" s="1"/>
      <c r="F175" s="1"/>
      <c r="G175" s="1"/>
      <c r="H175" s="1"/>
      <c r="I175" s="1"/>
      <c r="J175" s="1"/>
      <c r="K175" s="1"/>
      <c r="L175" s="1"/>
      <c r="M175" s="1"/>
    </row>
    <row r="176" spans="1:13" ht="30" customHeight="1">
      <c r="A176" s="1"/>
      <c r="B176" s="1"/>
      <c r="C176" s="1"/>
      <c r="D176" s="1"/>
      <c r="E176" s="1"/>
      <c r="F176" s="1"/>
      <c r="G176" s="1"/>
      <c r="H176" s="1"/>
      <c r="I176" s="1"/>
      <c r="J176" s="1"/>
      <c r="K176" s="1"/>
      <c r="L176" s="1"/>
      <c r="M176" s="1"/>
    </row>
    <row r="177" spans="1:13" ht="30" customHeight="1">
      <c r="A177" s="1"/>
      <c r="B177" s="1"/>
      <c r="C177" s="1"/>
      <c r="D177" s="1"/>
      <c r="E177" s="1"/>
      <c r="F177" s="1"/>
      <c r="G177" s="1"/>
      <c r="H177" s="1"/>
      <c r="I177" s="1"/>
      <c r="J177" s="1"/>
      <c r="K177" s="1"/>
      <c r="L177" s="1"/>
      <c r="M177" s="1"/>
    </row>
    <row r="178" spans="1:13" ht="30" customHeight="1">
      <c r="A178" s="1"/>
      <c r="B178" s="1"/>
      <c r="C178" s="1"/>
      <c r="D178" s="1"/>
      <c r="E178" s="1"/>
      <c r="F178" s="1"/>
      <c r="G178" s="1"/>
      <c r="H178" s="1"/>
      <c r="I178" s="1"/>
      <c r="J178" s="1"/>
      <c r="K178" s="1"/>
      <c r="L178" s="1"/>
      <c r="M178" s="1"/>
    </row>
    <row r="179" spans="1:13" ht="30" customHeight="1">
      <c r="A179" s="1"/>
      <c r="B179" s="1"/>
      <c r="C179" s="1"/>
      <c r="D179" s="1"/>
      <c r="E179" s="1"/>
      <c r="F179" s="1"/>
      <c r="G179" s="1"/>
      <c r="H179" s="1"/>
      <c r="I179" s="1"/>
      <c r="J179" s="1"/>
      <c r="K179" s="1"/>
      <c r="L179" s="1"/>
      <c r="M179" s="1"/>
    </row>
    <row r="180" spans="1:13" ht="30" customHeight="1">
      <c r="A180" s="1"/>
      <c r="B180" s="1"/>
      <c r="C180" s="1"/>
      <c r="D180" s="1"/>
      <c r="E180" s="1"/>
      <c r="F180" s="1"/>
      <c r="G180" s="1"/>
      <c r="H180" s="1"/>
      <c r="I180" s="1"/>
      <c r="J180" s="1"/>
      <c r="K180" s="1"/>
      <c r="L180" s="1"/>
      <c r="M180" s="1"/>
    </row>
    <row r="181" spans="1:13" ht="30" customHeight="1">
      <c r="A181" s="1"/>
      <c r="B181" s="1"/>
      <c r="C181" s="1"/>
      <c r="D181" s="1"/>
      <c r="E181" s="1"/>
      <c r="F181" s="1"/>
      <c r="G181" s="1"/>
      <c r="H181" s="1"/>
      <c r="I181" s="1"/>
      <c r="J181" s="1"/>
      <c r="K181" s="1"/>
      <c r="L181" s="1"/>
      <c r="M181" s="1"/>
    </row>
    <row r="182" spans="1:13" ht="30" customHeight="1">
      <c r="A182" s="1"/>
      <c r="B182" s="1"/>
      <c r="C182" s="1"/>
      <c r="D182" s="1"/>
      <c r="E182" s="1"/>
      <c r="F182" s="1"/>
      <c r="G182" s="1"/>
      <c r="H182" s="1"/>
      <c r="I182" s="1"/>
      <c r="J182" s="1"/>
      <c r="K182" s="1"/>
      <c r="L182" s="1"/>
      <c r="M182" s="1"/>
    </row>
    <row r="183" spans="1:13" ht="30" customHeight="1">
      <c r="A183" s="1"/>
      <c r="B183" s="1"/>
      <c r="C183" s="1"/>
      <c r="D183" s="1"/>
      <c r="E183" s="1"/>
      <c r="F183" s="1"/>
      <c r="G183" s="1"/>
      <c r="H183" s="1"/>
      <c r="I183" s="1"/>
      <c r="J183" s="1"/>
      <c r="K183" s="1"/>
      <c r="L183" s="1"/>
      <c r="M183" s="1"/>
    </row>
    <row r="184" spans="1:13" ht="30" customHeight="1">
      <c r="A184" s="1"/>
      <c r="B184" s="1"/>
      <c r="C184" s="1"/>
      <c r="D184" s="1"/>
      <c r="E184" s="1"/>
      <c r="F184" s="1"/>
      <c r="G184" s="1"/>
      <c r="H184" s="1"/>
      <c r="I184" s="1"/>
      <c r="J184" s="1"/>
      <c r="K184" s="1"/>
      <c r="L184" s="1"/>
      <c r="M184" s="1"/>
    </row>
    <row r="185" spans="1:13" ht="30" customHeight="1">
      <c r="A185" s="1"/>
      <c r="B185" s="1"/>
      <c r="C185" s="1"/>
      <c r="D185" s="1"/>
      <c r="E185" s="1"/>
      <c r="F185" s="1"/>
      <c r="G185" s="1"/>
      <c r="H185" s="1"/>
      <c r="I185" s="1"/>
      <c r="J185" s="1"/>
      <c r="K185" s="1"/>
      <c r="L185" s="1"/>
      <c r="M185" s="1"/>
    </row>
    <row r="186" spans="1:13" ht="30" customHeight="1">
      <c r="A186" s="1"/>
      <c r="B186" s="1"/>
      <c r="C186" s="1"/>
      <c r="D186" s="1"/>
      <c r="E186" s="1"/>
      <c r="F186" s="1"/>
      <c r="G186" s="1"/>
      <c r="H186" s="1"/>
      <c r="I186" s="1"/>
      <c r="J186" s="1"/>
      <c r="K186" s="1"/>
      <c r="L186" s="1"/>
      <c r="M186" s="1"/>
    </row>
    <row r="187" spans="1:13" ht="30" customHeight="1">
      <c r="A187" s="1"/>
      <c r="B187" s="1"/>
      <c r="C187" s="1"/>
      <c r="D187" s="1"/>
      <c r="E187" s="1"/>
      <c r="F187" s="1"/>
      <c r="G187" s="1"/>
      <c r="H187" s="1"/>
      <c r="I187" s="1"/>
      <c r="J187" s="1"/>
      <c r="K187" s="1"/>
      <c r="L187" s="1"/>
      <c r="M187" s="1"/>
    </row>
    <row r="188" spans="1:13" ht="30" customHeight="1">
      <c r="A188" s="1"/>
      <c r="B188" s="1"/>
      <c r="C188" s="1"/>
      <c r="D188" s="1"/>
      <c r="E188" s="1"/>
      <c r="F188" s="1"/>
      <c r="G188" s="1"/>
      <c r="H188" s="1"/>
      <c r="I188" s="1"/>
      <c r="J188" s="1"/>
      <c r="K188" s="1"/>
      <c r="L188" s="1"/>
      <c r="M188" s="1"/>
    </row>
    <row r="189" spans="1:13" ht="30" customHeight="1">
      <c r="A189" s="1"/>
      <c r="B189" s="1"/>
      <c r="C189" s="1"/>
      <c r="D189" s="1"/>
      <c r="E189" s="1"/>
      <c r="F189" s="1"/>
      <c r="G189" s="1"/>
      <c r="H189" s="1"/>
      <c r="I189" s="1"/>
      <c r="J189" s="1"/>
      <c r="K189" s="1"/>
      <c r="L189" s="1"/>
      <c r="M189" s="1"/>
    </row>
    <row r="190" spans="1:13" ht="30" customHeight="1">
      <c r="A190" s="1"/>
      <c r="B190" s="1"/>
      <c r="C190" s="1"/>
      <c r="D190" s="1"/>
      <c r="E190" s="1"/>
      <c r="F190" s="1"/>
      <c r="G190" s="1"/>
      <c r="H190" s="1"/>
      <c r="I190" s="1"/>
      <c r="J190" s="1"/>
      <c r="K190" s="1"/>
      <c r="L190" s="1"/>
      <c r="M190" s="1"/>
    </row>
    <row r="191" spans="1:13" ht="30" customHeight="1">
      <c r="A191" s="1"/>
      <c r="B191" s="1"/>
      <c r="C191" s="1"/>
      <c r="D191" s="1"/>
      <c r="E191" s="1"/>
      <c r="F191" s="1"/>
      <c r="G191" s="1"/>
      <c r="H191" s="1"/>
      <c r="I191" s="1"/>
      <c r="J191" s="1"/>
      <c r="K191" s="1"/>
      <c r="L191" s="1"/>
      <c r="M191" s="1"/>
    </row>
    <row r="192" spans="1:13" ht="30" customHeight="1">
      <c r="A192" s="1"/>
      <c r="B192" s="1"/>
      <c r="C192" s="1"/>
      <c r="D192" s="1"/>
      <c r="E192" s="1"/>
      <c r="F192" s="1"/>
      <c r="G192" s="1"/>
      <c r="H192" s="1"/>
      <c r="I192" s="1"/>
      <c r="J192" s="1"/>
      <c r="K192" s="1"/>
      <c r="L192" s="1"/>
      <c r="M192" s="1"/>
    </row>
    <row r="193" spans="1:13" ht="30" customHeight="1">
      <c r="A193" s="1"/>
      <c r="B193" s="1"/>
      <c r="C193" s="1"/>
      <c r="D193" s="1"/>
      <c r="E193" s="1"/>
      <c r="F193" s="1"/>
      <c r="G193" s="1"/>
      <c r="H193" s="1"/>
      <c r="I193" s="1"/>
      <c r="J193" s="1"/>
      <c r="K193" s="1"/>
      <c r="L193" s="1"/>
      <c r="M193" s="1"/>
    </row>
    <row r="194" spans="1:13" ht="30" customHeight="1">
      <c r="A194" s="1"/>
      <c r="B194" s="1"/>
      <c r="C194" s="1"/>
      <c r="D194" s="1"/>
      <c r="E194" s="1"/>
      <c r="F194" s="1"/>
      <c r="G194" s="1"/>
      <c r="H194" s="1"/>
      <c r="I194" s="1"/>
      <c r="J194" s="1"/>
      <c r="K194" s="1"/>
      <c r="L194" s="1"/>
      <c r="M194" s="1"/>
    </row>
    <row r="195" spans="1:13" ht="30" customHeight="1">
      <c r="A195" s="1"/>
      <c r="B195" s="1"/>
      <c r="C195" s="1"/>
      <c r="D195" s="1"/>
      <c r="E195" s="1"/>
      <c r="F195" s="1"/>
      <c r="G195" s="1"/>
      <c r="H195" s="1"/>
      <c r="I195" s="1"/>
      <c r="J195" s="1"/>
      <c r="K195" s="1"/>
      <c r="L195" s="1"/>
      <c r="M195" s="1"/>
    </row>
    <row r="196" spans="1:13" ht="30" customHeight="1">
      <c r="A196" s="1"/>
      <c r="B196" s="1"/>
      <c r="C196" s="1"/>
      <c r="D196" s="1"/>
      <c r="E196" s="1"/>
      <c r="F196" s="1"/>
      <c r="G196" s="1"/>
      <c r="H196" s="1"/>
      <c r="I196" s="1"/>
      <c r="J196" s="1"/>
      <c r="K196" s="1"/>
      <c r="L196" s="1"/>
      <c r="M196" s="1"/>
    </row>
    <row r="197" spans="1:13" ht="30" customHeight="1">
      <c r="A197" s="1"/>
      <c r="B197" s="1"/>
      <c r="C197" s="1"/>
      <c r="D197" s="1"/>
      <c r="E197" s="1"/>
      <c r="F197" s="1"/>
      <c r="G197" s="1"/>
      <c r="H197" s="1"/>
      <c r="I197" s="1"/>
      <c r="J197" s="1"/>
      <c r="K197" s="1"/>
      <c r="L197" s="1"/>
      <c r="M197" s="1"/>
    </row>
    <row r="198" spans="1:13" ht="30" customHeight="1">
      <c r="A198" s="1"/>
      <c r="B198" s="1"/>
      <c r="C198" s="1"/>
      <c r="D198" s="1"/>
      <c r="E198" s="1"/>
      <c r="F198" s="1"/>
      <c r="G198" s="1"/>
      <c r="H198" s="1"/>
      <c r="I198" s="1"/>
      <c r="J198" s="1"/>
      <c r="K198" s="1"/>
      <c r="L198" s="1"/>
      <c r="M198" s="1"/>
    </row>
    <row r="199" spans="1:13">
      <c r="B199" s="1"/>
      <c r="C199" s="1"/>
      <c r="D199" s="1"/>
      <c r="E199" s="1"/>
      <c r="F199" s="1"/>
      <c r="G199" s="1"/>
      <c r="H199" s="1"/>
      <c r="I199" s="1"/>
      <c r="J199" s="1"/>
      <c r="K199" s="1"/>
    </row>
    <row r="200" spans="1:13">
      <c r="B200" s="1"/>
      <c r="C200" s="1"/>
      <c r="D200" s="1"/>
      <c r="E200" s="1"/>
      <c r="F200" s="1"/>
      <c r="G200" s="1"/>
      <c r="H200" s="1"/>
      <c r="I200" s="1"/>
      <c r="J200" s="1"/>
      <c r="K200" s="1"/>
    </row>
    <row r="201" spans="1:13">
      <c r="B201" s="1"/>
      <c r="C201" s="1"/>
      <c r="D201" s="1"/>
      <c r="E201" s="1"/>
      <c r="F201" s="1"/>
      <c r="G201" s="1"/>
      <c r="H201" s="1"/>
      <c r="I201" s="1"/>
      <c r="J201" s="1"/>
      <c r="K201" s="1"/>
    </row>
    <row r="202" spans="1:13">
      <c r="B202" s="1"/>
      <c r="C202" s="1"/>
      <c r="D202" s="1"/>
      <c r="E202" s="1"/>
      <c r="F202" s="1"/>
      <c r="G202" s="1"/>
      <c r="H202" s="1"/>
      <c r="I202" s="1"/>
      <c r="J202" s="1"/>
      <c r="K202" s="1"/>
    </row>
    <row r="203" spans="1:13">
      <c r="B203" s="1"/>
      <c r="C203" s="1"/>
      <c r="D203" s="1"/>
      <c r="E203" s="1"/>
      <c r="F203" s="1"/>
      <c r="G203" s="1"/>
      <c r="H203" s="1"/>
      <c r="I203" s="1"/>
      <c r="J203" s="1"/>
      <c r="K203" s="1"/>
    </row>
    <row r="204" spans="1:13">
      <c r="B204" s="1"/>
      <c r="C204" s="1"/>
      <c r="D204" s="1"/>
      <c r="E204" s="1"/>
      <c r="F204" s="1"/>
      <c r="G204" s="1"/>
      <c r="H204" s="1"/>
      <c r="I204" s="1"/>
      <c r="J204" s="1"/>
      <c r="K204" s="1"/>
    </row>
    <row r="205" spans="1:13">
      <c r="B205" s="1"/>
      <c r="C205" s="1"/>
      <c r="D205" s="1"/>
      <c r="E205" s="1"/>
      <c r="F205" s="1"/>
      <c r="G205" s="1"/>
      <c r="H205" s="1"/>
      <c r="I205" s="1"/>
      <c r="J205" s="1"/>
      <c r="K205" s="1"/>
    </row>
    <row r="206" spans="1:13">
      <c r="B206" s="1"/>
      <c r="C206" s="1"/>
      <c r="D206" s="1"/>
      <c r="E206" s="1"/>
      <c r="F206" s="1"/>
      <c r="G206" s="1"/>
      <c r="H206" s="1"/>
      <c r="I206" s="1"/>
      <c r="J206" s="1"/>
      <c r="K206" s="1"/>
    </row>
    <row r="207" spans="1:13">
      <c r="B207" s="1"/>
      <c r="C207" s="1"/>
      <c r="D207" s="1"/>
      <c r="E207" s="1"/>
      <c r="F207" s="1"/>
      <c r="G207" s="1"/>
      <c r="H207" s="1"/>
      <c r="I207" s="1"/>
      <c r="J207" s="1"/>
      <c r="K207" s="1"/>
    </row>
  </sheetData>
  <sheetProtection algorithmName="SHA-512" hashValue="SwgGDN/cwgDSnLlQfFmr3vyZdNbXdkEXFnoV9rJiTIhe/xP8E871wl3TnvBUh3xTccpBu8stnz8ZM/ijei3GlA==" saltValue="3exvTontyLDZ66eH4xTwlA==" spinCount="100000" sheet="1" selectLockedCells="1"/>
  <mergeCells count="61">
    <mergeCell ref="D68:E68"/>
    <mergeCell ref="F68:G68"/>
    <mergeCell ref="D69:E69"/>
    <mergeCell ref="F69:G69"/>
    <mergeCell ref="D70:E70"/>
    <mergeCell ref="F70:G70"/>
    <mergeCell ref="B75:C75"/>
    <mergeCell ref="D75:G75"/>
    <mergeCell ref="B71:G71"/>
    <mergeCell ref="B72:C72"/>
    <mergeCell ref="D72:G72"/>
    <mergeCell ref="B73:C73"/>
    <mergeCell ref="D73:G73"/>
    <mergeCell ref="B74:C74"/>
    <mergeCell ref="D74:G74"/>
    <mergeCell ref="D67:E67"/>
    <mergeCell ref="F67:G67"/>
    <mergeCell ref="B50:K50"/>
    <mergeCell ref="B51:K51"/>
    <mergeCell ref="B53:D53"/>
    <mergeCell ref="C54:D54"/>
    <mergeCell ref="B62:G62"/>
    <mergeCell ref="D63:E63"/>
    <mergeCell ref="F63:G63"/>
    <mergeCell ref="D64:E64"/>
    <mergeCell ref="F64:G64"/>
    <mergeCell ref="B65:G65"/>
    <mergeCell ref="D66:E66"/>
    <mergeCell ref="F66:G66"/>
    <mergeCell ref="I48:J48"/>
    <mergeCell ref="B34:K34"/>
    <mergeCell ref="D41:F41"/>
    <mergeCell ref="G41:H41"/>
    <mergeCell ref="I41:K41"/>
    <mergeCell ref="M41:N47"/>
    <mergeCell ref="B27:G27"/>
    <mergeCell ref="C28:D28"/>
    <mergeCell ref="C29:D29"/>
    <mergeCell ref="E30:G30"/>
    <mergeCell ref="I27:K27"/>
    <mergeCell ref="I28:K28"/>
    <mergeCell ref="I29:K29"/>
    <mergeCell ref="I43:J43"/>
    <mergeCell ref="B39:K39"/>
    <mergeCell ref="B41:C49"/>
    <mergeCell ref="I42:J42"/>
    <mergeCell ref="I49:J49"/>
    <mergeCell ref="I44:J44"/>
    <mergeCell ref="I45:K46"/>
    <mergeCell ref="I47:J47"/>
    <mergeCell ref="H11:I12"/>
    <mergeCell ref="B9:I9"/>
    <mergeCell ref="B6:I6"/>
    <mergeCell ref="M2:Q37"/>
    <mergeCell ref="B2:K2"/>
    <mergeCell ref="B4:K4"/>
    <mergeCell ref="B14:K14"/>
    <mergeCell ref="B25:K25"/>
    <mergeCell ref="B11:F11"/>
    <mergeCell ref="B16:K16"/>
    <mergeCell ref="B20:K20"/>
  </mergeCells>
  <conditionalFormatting sqref="H22">
    <cfRule type="expression" dxfId="2" priority="70">
      <formula>$K$42&lt;0</formula>
    </cfRule>
  </conditionalFormatting>
  <conditionalFormatting sqref="C22 E22">
    <cfRule type="expression" dxfId="1" priority="71">
      <formula>$K$42&lt;0</formula>
    </cfRule>
  </conditionalFormatting>
  <conditionalFormatting sqref="I27:K28">
    <cfRule type="expression" dxfId="0" priority="72">
      <formula>$K$22&lt;$I$8</formula>
    </cfRule>
  </conditionalFormatting>
  <dataValidations count="1">
    <dataValidation type="list" allowBlank="1" showInputMessage="1" showErrorMessage="1" sqref="D12:D13" xr:uid="{F73DC5DF-A1CB-9C4D-9FF5-3721C7AC83BD}">
      <formula1>"BBL, Gallons, hL, Liters"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Brewing Water Calculator</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ASHTON LEWIS</dc:creator>
  <cp:lastModifiedBy>Ashton Lewis</cp:lastModifiedBy>
  <cp:lastPrinted>2012-11-02T00:07:17Z</cp:lastPrinted>
  <dcterms:created xsi:type="dcterms:W3CDTF">2007-04-09T20:20:43Z</dcterms:created>
  <dcterms:modified xsi:type="dcterms:W3CDTF">2023-01-16T01:30:17Z</dcterms:modified>
</cp:coreProperties>
</file>